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\Desktop\ISFIS-Marketing Files\Website\New Money Report &amp; SSA\"/>
    </mc:Choice>
  </mc:AlternateContent>
  <bookViews>
    <workbookView xWindow="0" yWindow="0" windowWidth="21570" windowHeight="6258"/>
  </bookViews>
  <sheets>
    <sheet name="Instuctions" sheetId="7" r:id="rId1"/>
    <sheet name="District RPDC" sheetId="2" r:id="rId2"/>
    <sheet name="District Categorical" sheetId="4" r:id="rId3"/>
    <sheet name="District Media and Ed Services" sheetId="5" r:id="rId4"/>
    <sheet name="District Totals" sheetId="6" r:id="rId5"/>
    <sheet name="FY2027 RPDC Report" sheetId="8" r:id="rId6"/>
    <sheet name="FY2027 Categoricals Report" sheetId="9" r:id="rId7"/>
    <sheet name="FY2027 Totals Report" sheetId="10" r:id="rId8"/>
    <sheet name="Percentage Selection" sheetId="3" state="hidden" r:id="rId9"/>
    <sheet name="Sheet1" sheetId="1" state="hidden" r:id="rId10"/>
  </sheets>
  <definedNames>
    <definedName name="preliminary" localSheetId="6">#REF!</definedName>
    <definedName name="preliminary" localSheetId="7">#REF!</definedName>
    <definedName name="preliminary">#REF!</definedName>
    <definedName name="_xlnm.Print_Area" localSheetId="2">'District Categorical'!$A$1:$E$35</definedName>
    <definedName name="_xlnm.Print_Area" localSheetId="3">'District Media and Ed Services'!$A$1:$E$27</definedName>
    <definedName name="_xlnm.Print_Area" localSheetId="1">'District RPDC'!$A$1:$E$24</definedName>
    <definedName name="_xlnm.Print_Area" localSheetId="4">'District Totals'!$A$1:$E$28</definedName>
    <definedName name="_xlnm.Print_Titles" localSheetId="6">'FY2027 Categoricals Report'!$1:$9</definedName>
    <definedName name="_xlnm.Print_Titles" localSheetId="5">'FY2027 RPDC Report'!$1:$9</definedName>
    <definedName name="_xlnm.Print_Titles" localSheetId="7">'FY2027 Totals Report'!$1:$9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0" l="1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F27" i="10" s="1"/>
  <c r="E28" i="10"/>
  <c r="F28" i="10" s="1"/>
  <c r="E29" i="10"/>
  <c r="F29" i="10" s="1"/>
  <c r="E30" i="10"/>
  <c r="F30" i="10" s="1"/>
  <c r="E31" i="10"/>
  <c r="F31" i="10" s="1"/>
  <c r="E32" i="10"/>
  <c r="F32" i="10" s="1"/>
  <c r="E33" i="10"/>
  <c r="F33" i="10" s="1"/>
  <c r="E34" i="10"/>
  <c r="F34" i="10" s="1"/>
  <c r="E35" i="10"/>
  <c r="F35" i="10" s="1"/>
  <c r="E36" i="10"/>
  <c r="E37" i="10"/>
  <c r="F37" i="10" s="1"/>
  <c r="E38" i="10"/>
  <c r="F38" i="10" s="1"/>
  <c r="E39" i="10"/>
  <c r="F39" i="10" s="1"/>
  <c r="E40" i="10"/>
  <c r="F40" i="10" s="1"/>
  <c r="E41" i="10"/>
  <c r="F41" i="10" s="1"/>
  <c r="E42" i="10"/>
  <c r="F42" i="10" s="1"/>
  <c r="E43" i="10"/>
  <c r="F43" i="10" s="1"/>
  <c r="E44" i="10"/>
  <c r="F44" i="10" s="1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F59" i="10" s="1"/>
  <c r="E60" i="10"/>
  <c r="F60" i="10" s="1"/>
  <c r="E61" i="10"/>
  <c r="F61" i="10" s="1"/>
  <c r="E62" i="10"/>
  <c r="F62" i="10" s="1"/>
  <c r="E63" i="10"/>
  <c r="F63" i="10" s="1"/>
  <c r="E64" i="10"/>
  <c r="F64" i="10" s="1"/>
  <c r="E65" i="10"/>
  <c r="F65" i="10" s="1"/>
  <c r="E66" i="10"/>
  <c r="F66" i="10" s="1"/>
  <c r="E67" i="10"/>
  <c r="F67" i="10" s="1"/>
  <c r="E68" i="10"/>
  <c r="E69" i="10"/>
  <c r="F69" i="10" s="1"/>
  <c r="E70" i="10"/>
  <c r="F70" i="10" s="1"/>
  <c r="E71" i="10"/>
  <c r="F71" i="10" s="1"/>
  <c r="E72" i="10"/>
  <c r="F72" i="10" s="1"/>
  <c r="E73" i="10"/>
  <c r="F73" i="10" s="1"/>
  <c r="E74" i="10"/>
  <c r="F74" i="10" s="1"/>
  <c r="E75" i="10"/>
  <c r="F75" i="10" s="1"/>
  <c r="E76" i="10"/>
  <c r="F76" i="10" s="1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F91" i="10" s="1"/>
  <c r="E92" i="10"/>
  <c r="F92" i="10" s="1"/>
  <c r="E93" i="10"/>
  <c r="F93" i="10" s="1"/>
  <c r="E94" i="10"/>
  <c r="F94" i="10" s="1"/>
  <c r="E95" i="10"/>
  <c r="F95" i="10" s="1"/>
  <c r="E96" i="10"/>
  <c r="F96" i="10" s="1"/>
  <c r="E97" i="10"/>
  <c r="F97" i="10" s="1"/>
  <c r="E98" i="10"/>
  <c r="F98" i="10" s="1"/>
  <c r="E99" i="10"/>
  <c r="F99" i="10" s="1"/>
  <c r="E100" i="10"/>
  <c r="E101" i="10"/>
  <c r="F101" i="10" s="1"/>
  <c r="E102" i="10"/>
  <c r="F102" i="10" s="1"/>
  <c r="E103" i="10"/>
  <c r="F103" i="10" s="1"/>
  <c r="E104" i="10"/>
  <c r="F104" i="10" s="1"/>
  <c r="E105" i="10"/>
  <c r="F105" i="10" s="1"/>
  <c r="E106" i="10"/>
  <c r="F106" i="10" s="1"/>
  <c r="E107" i="10"/>
  <c r="F107" i="10" s="1"/>
  <c r="E108" i="10"/>
  <c r="F108" i="10" s="1"/>
  <c r="E109" i="10"/>
  <c r="E110" i="10"/>
  <c r="E111" i="10"/>
  <c r="E112" i="10"/>
  <c r="E113" i="10"/>
  <c r="E114" i="10"/>
  <c r="E115" i="10"/>
  <c r="E116" i="10"/>
  <c r="E117" i="10"/>
  <c r="E118" i="10"/>
  <c r="E119" i="10"/>
  <c r="E120" i="10"/>
  <c r="E121" i="10"/>
  <c r="E122" i="10"/>
  <c r="E123" i="10"/>
  <c r="F123" i="10" s="1"/>
  <c r="E124" i="10"/>
  <c r="F124" i="10" s="1"/>
  <c r="E125" i="10"/>
  <c r="F125" i="10" s="1"/>
  <c r="E126" i="10"/>
  <c r="F126" i="10" s="1"/>
  <c r="E127" i="10"/>
  <c r="F127" i="10" s="1"/>
  <c r="E128" i="10"/>
  <c r="F128" i="10" s="1"/>
  <c r="E129" i="10"/>
  <c r="F129" i="10" s="1"/>
  <c r="E130" i="10"/>
  <c r="F130" i="10" s="1"/>
  <c r="E131" i="10"/>
  <c r="F131" i="10" s="1"/>
  <c r="E132" i="10"/>
  <c r="E133" i="10"/>
  <c r="F133" i="10" s="1"/>
  <c r="E134" i="10"/>
  <c r="F134" i="10" s="1"/>
  <c r="E135" i="10"/>
  <c r="F135" i="10" s="1"/>
  <c r="E136" i="10"/>
  <c r="F136" i="10" s="1"/>
  <c r="E137" i="10"/>
  <c r="F137" i="10" s="1"/>
  <c r="E138" i="10"/>
  <c r="F138" i="10" s="1"/>
  <c r="E139" i="10"/>
  <c r="F139" i="10" s="1"/>
  <c r="E140" i="10"/>
  <c r="F140" i="10" s="1"/>
  <c r="E141" i="10"/>
  <c r="E142" i="10"/>
  <c r="E143" i="10"/>
  <c r="E144" i="10"/>
  <c r="E145" i="10"/>
  <c r="E146" i="10"/>
  <c r="E147" i="10"/>
  <c r="E148" i="10"/>
  <c r="E149" i="10"/>
  <c r="E150" i="10"/>
  <c r="E151" i="10"/>
  <c r="E152" i="10"/>
  <c r="E153" i="10"/>
  <c r="E154" i="10"/>
  <c r="E155" i="10"/>
  <c r="F155" i="10" s="1"/>
  <c r="E156" i="10"/>
  <c r="F156" i="10" s="1"/>
  <c r="E157" i="10"/>
  <c r="F157" i="10" s="1"/>
  <c r="E158" i="10"/>
  <c r="F158" i="10" s="1"/>
  <c r="E159" i="10"/>
  <c r="F159" i="10" s="1"/>
  <c r="E160" i="10"/>
  <c r="F160" i="10" s="1"/>
  <c r="E161" i="10"/>
  <c r="F161" i="10" s="1"/>
  <c r="E162" i="10"/>
  <c r="F162" i="10" s="1"/>
  <c r="E163" i="10"/>
  <c r="F163" i="10" s="1"/>
  <c r="E164" i="10"/>
  <c r="E165" i="10"/>
  <c r="F165" i="10" s="1"/>
  <c r="E166" i="10"/>
  <c r="F166" i="10" s="1"/>
  <c r="E167" i="10"/>
  <c r="F167" i="10" s="1"/>
  <c r="E168" i="10"/>
  <c r="F168" i="10" s="1"/>
  <c r="E169" i="10"/>
  <c r="F169" i="10" s="1"/>
  <c r="E170" i="10"/>
  <c r="F170" i="10" s="1"/>
  <c r="E171" i="10"/>
  <c r="F171" i="10" s="1"/>
  <c r="E172" i="10"/>
  <c r="F172" i="10" s="1"/>
  <c r="E173" i="10"/>
  <c r="E174" i="10"/>
  <c r="E175" i="10"/>
  <c r="E176" i="10"/>
  <c r="E177" i="10"/>
  <c r="E178" i="10"/>
  <c r="E179" i="10"/>
  <c r="E180" i="10"/>
  <c r="E181" i="10"/>
  <c r="E182" i="10"/>
  <c r="E183" i="10"/>
  <c r="E184" i="10"/>
  <c r="E185" i="10"/>
  <c r="E186" i="10"/>
  <c r="E187" i="10"/>
  <c r="F187" i="10" s="1"/>
  <c r="E188" i="10"/>
  <c r="F188" i="10" s="1"/>
  <c r="E189" i="10"/>
  <c r="F189" i="10" s="1"/>
  <c r="E190" i="10"/>
  <c r="F190" i="10" s="1"/>
  <c r="E191" i="10"/>
  <c r="F191" i="10" s="1"/>
  <c r="E192" i="10"/>
  <c r="F192" i="10" s="1"/>
  <c r="E193" i="10"/>
  <c r="F193" i="10" s="1"/>
  <c r="E194" i="10"/>
  <c r="F194" i="10" s="1"/>
  <c r="E195" i="10"/>
  <c r="F195" i="10" s="1"/>
  <c r="E196" i="10"/>
  <c r="E197" i="10"/>
  <c r="F197" i="10" s="1"/>
  <c r="E198" i="10"/>
  <c r="F198" i="10" s="1"/>
  <c r="E199" i="10"/>
  <c r="F199" i="10" s="1"/>
  <c r="E200" i="10"/>
  <c r="F200" i="10" s="1"/>
  <c r="E201" i="10"/>
  <c r="F201" i="10" s="1"/>
  <c r="E202" i="10"/>
  <c r="F202" i="10" s="1"/>
  <c r="E203" i="10"/>
  <c r="F203" i="10" s="1"/>
  <c r="E204" i="10"/>
  <c r="F204" i="10" s="1"/>
  <c r="E205" i="10"/>
  <c r="E206" i="10"/>
  <c r="E207" i="10"/>
  <c r="E208" i="10"/>
  <c r="E209" i="10"/>
  <c r="E210" i="10"/>
  <c r="E211" i="10"/>
  <c r="E212" i="10"/>
  <c r="E213" i="10"/>
  <c r="E214" i="10"/>
  <c r="E215" i="10"/>
  <c r="E216" i="10"/>
  <c r="E217" i="10"/>
  <c r="E218" i="10"/>
  <c r="E219" i="10"/>
  <c r="F219" i="10" s="1"/>
  <c r="E220" i="10"/>
  <c r="F220" i="10" s="1"/>
  <c r="E221" i="10"/>
  <c r="F221" i="10" s="1"/>
  <c r="E222" i="10"/>
  <c r="F222" i="10" s="1"/>
  <c r="E223" i="10"/>
  <c r="F223" i="10" s="1"/>
  <c r="E224" i="10"/>
  <c r="F224" i="10" s="1"/>
  <c r="E225" i="10"/>
  <c r="F225" i="10" s="1"/>
  <c r="E226" i="10"/>
  <c r="F226" i="10" s="1"/>
  <c r="E227" i="10"/>
  <c r="F227" i="10" s="1"/>
  <c r="E228" i="10"/>
  <c r="E229" i="10"/>
  <c r="F229" i="10" s="1"/>
  <c r="E230" i="10"/>
  <c r="F230" i="10" s="1"/>
  <c r="E231" i="10"/>
  <c r="F231" i="10" s="1"/>
  <c r="E232" i="10"/>
  <c r="F232" i="10" s="1"/>
  <c r="E233" i="10"/>
  <c r="F233" i="10" s="1"/>
  <c r="E234" i="10"/>
  <c r="F234" i="10" s="1"/>
  <c r="E235" i="10"/>
  <c r="F235" i="10" s="1"/>
  <c r="E236" i="10"/>
  <c r="F236" i="10" s="1"/>
  <c r="E237" i="10"/>
  <c r="E238" i="10"/>
  <c r="E239" i="10"/>
  <c r="E240" i="10"/>
  <c r="E241" i="10"/>
  <c r="E242" i="10"/>
  <c r="E243" i="10"/>
  <c r="E244" i="10"/>
  <c r="E245" i="10"/>
  <c r="E246" i="10"/>
  <c r="E247" i="10"/>
  <c r="E248" i="10"/>
  <c r="E249" i="10"/>
  <c r="E250" i="10"/>
  <c r="E251" i="10"/>
  <c r="E252" i="10"/>
  <c r="F252" i="10" s="1"/>
  <c r="E253" i="10"/>
  <c r="F253" i="10" s="1"/>
  <c r="E254" i="10"/>
  <c r="F254" i="10" s="1"/>
  <c r="E255" i="10"/>
  <c r="F255" i="10" s="1"/>
  <c r="E256" i="10"/>
  <c r="F256" i="10" s="1"/>
  <c r="E257" i="10"/>
  <c r="F257" i="10" s="1"/>
  <c r="E258" i="10"/>
  <c r="F258" i="10" s="1"/>
  <c r="E259" i="10"/>
  <c r="F259" i="10" s="1"/>
  <c r="E260" i="10"/>
  <c r="E261" i="10"/>
  <c r="E262" i="10"/>
  <c r="F262" i="10" s="1"/>
  <c r="E263" i="10"/>
  <c r="F263" i="10" s="1"/>
  <c r="E264" i="10"/>
  <c r="F264" i="10" s="1"/>
  <c r="E265" i="10"/>
  <c r="F265" i="10" s="1"/>
  <c r="E266" i="10"/>
  <c r="F266" i="10" s="1"/>
  <c r="E267" i="10"/>
  <c r="F267" i="10" s="1"/>
  <c r="E268" i="10"/>
  <c r="F268" i="10" s="1"/>
  <c r="E269" i="10"/>
  <c r="E270" i="10"/>
  <c r="E271" i="10"/>
  <c r="E272" i="10"/>
  <c r="E273" i="10"/>
  <c r="E274" i="10"/>
  <c r="E275" i="10"/>
  <c r="E276" i="10"/>
  <c r="E277" i="10"/>
  <c r="E278" i="10"/>
  <c r="E279" i="10"/>
  <c r="E280" i="10"/>
  <c r="E281" i="10"/>
  <c r="E282" i="10"/>
  <c r="E283" i="10"/>
  <c r="E284" i="10"/>
  <c r="F284" i="10" s="1"/>
  <c r="E285" i="10"/>
  <c r="F285" i="10" s="1"/>
  <c r="E286" i="10"/>
  <c r="F286" i="10" s="1"/>
  <c r="E287" i="10"/>
  <c r="F287" i="10" s="1"/>
  <c r="E288" i="10"/>
  <c r="F288" i="10" s="1"/>
  <c r="E289" i="10"/>
  <c r="F289" i="10" s="1"/>
  <c r="E290" i="10"/>
  <c r="F290" i="10" s="1"/>
  <c r="E291" i="10"/>
  <c r="F291" i="10" s="1"/>
  <c r="E292" i="10"/>
  <c r="E293" i="10"/>
  <c r="E294" i="10"/>
  <c r="F294" i="10" s="1"/>
  <c r="E295" i="10"/>
  <c r="F295" i="10" s="1"/>
  <c r="E296" i="10"/>
  <c r="F296" i="10" s="1"/>
  <c r="E297" i="10"/>
  <c r="F297" i="10" s="1"/>
  <c r="E298" i="10"/>
  <c r="F298" i="10" s="1"/>
  <c r="E299" i="10"/>
  <c r="F299" i="10" s="1"/>
  <c r="E300" i="10"/>
  <c r="F300" i="10" s="1"/>
  <c r="E301" i="10"/>
  <c r="E302" i="10"/>
  <c r="E303" i="10"/>
  <c r="E304" i="10"/>
  <c r="E305" i="10"/>
  <c r="E306" i="10"/>
  <c r="E307" i="10"/>
  <c r="E308" i="10"/>
  <c r="E309" i="10"/>
  <c r="E310" i="10"/>
  <c r="E311" i="10"/>
  <c r="E312" i="10"/>
  <c r="E313" i="10"/>
  <c r="E314" i="10"/>
  <c r="E315" i="10"/>
  <c r="E316" i="10"/>
  <c r="F316" i="10" s="1"/>
  <c r="E317" i="10"/>
  <c r="F317" i="10" s="1"/>
  <c r="E318" i="10"/>
  <c r="F318" i="10" s="1"/>
  <c r="E319" i="10"/>
  <c r="F319" i="10" s="1"/>
  <c r="E320" i="10"/>
  <c r="F320" i="10" s="1"/>
  <c r="E321" i="10"/>
  <c r="F321" i="10" s="1"/>
  <c r="E322" i="10"/>
  <c r="F322" i="10" s="1"/>
  <c r="E323" i="10"/>
  <c r="F323" i="10" s="1"/>
  <c r="E324" i="10"/>
  <c r="E325" i="10"/>
  <c r="E326" i="10"/>
  <c r="F326" i="10" s="1"/>
  <c r="E327" i="10"/>
  <c r="F327" i="10" s="1"/>
  <c r="E328" i="10"/>
  <c r="F328" i="10" s="1"/>
  <c r="E329" i="10"/>
  <c r="F329" i="10" s="1"/>
  <c r="E330" i="10"/>
  <c r="F330" i="10" s="1"/>
  <c r="E331" i="10"/>
  <c r="F331" i="10" s="1"/>
  <c r="E332" i="10"/>
  <c r="F332" i="10" s="1"/>
  <c r="E333" i="10"/>
  <c r="E334" i="10"/>
  <c r="E12" i="10"/>
  <c r="E11" i="10"/>
  <c r="E10" i="10"/>
  <c r="L244" i="9"/>
  <c r="F245" i="10"/>
  <c r="J191" i="10"/>
  <c r="J194" i="10"/>
  <c r="J200" i="10"/>
  <c r="J217" i="10"/>
  <c r="J278" i="10"/>
  <c r="J279" i="10"/>
  <c r="J281" i="10"/>
  <c r="J32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N22" i="10" s="1"/>
  <c r="O22" i="10" s="1"/>
  <c r="G23" i="10"/>
  <c r="G24" i="10"/>
  <c r="G25" i="10"/>
  <c r="G26" i="10"/>
  <c r="G27" i="10"/>
  <c r="N27" i="10" s="1"/>
  <c r="O27" i="10" s="1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G108" i="10"/>
  <c r="G109" i="10"/>
  <c r="G110" i="10"/>
  <c r="G111" i="10"/>
  <c r="G112" i="10"/>
  <c r="G113" i="10"/>
  <c r="G114" i="10"/>
  <c r="G115" i="10"/>
  <c r="G116" i="10"/>
  <c r="G117" i="10"/>
  <c r="G118" i="10"/>
  <c r="G119" i="10"/>
  <c r="G120" i="10"/>
  <c r="G121" i="10"/>
  <c r="G122" i="10"/>
  <c r="G123" i="10"/>
  <c r="G124" i="10"/>
  <c r="G125" i="10"/>
  <c r="G126" i="10"/>
  <c r="G127" i="10"/>
  <c r="G128" i="10"/>
  <c r="G129" i="10"/>
  <c r="G130" i="10"/>
  <c r="G131" i="10"/>
  <c r="G132" i="10"/>
  <c r="N132" i="10" s="1"/>
  <c r="O132" i="10" s="1"/>
  <c r="G133" i="10"/>
  <c r="G134" i="10"/>
  <c r="G135" i="10"/>
  <c r="G136" i="10"/>
  <c r="G137" i="10"/>
  <c r="G138" i="10"/>
  <c r="G139" i="10"/>
  <c r="G140" i="10"/>
  <c r="G141" i="10"/>
  <c r="G142" i="10"/>
  <c r="G143" i="10"/>
  <c r="G144" i="10"/>
  <c r="G145" i="10"/>
  <c r="G146" i="10"/>
  <c r="G147" i="10"/>
  <c r="G148" i="10"/>
  <c r="G149" i="10"/>
  <c r="G150" i="10"/>
  <c r="G151" i="10"/>
  <c r="G152" i="10"/>
  <c r="G153" i="10"/>
  <c r="G154" i="10"/>
  <c r="G155" i="10"/>
  <c r="G156" i="10"/>
  <c r="G157" i="10"/>
  <c r="G158" i="10"/>
  <c r="G159" i="10"/>
  <c r="G160" i="10"/>
  <c r="G161" i="10"/>
  <c r="G162" i="10"/>
  <c r="G163" i="10"/>
  <c r="G164" i="10"/>
  <c r="G165" i="10"/>
  <c r="G166" i="10"/>
  <c r="G167" i="10"/>
  <c r="G168" i="10"/>
  <c r="G169" i="10"/>
  <c r="G170" i="10"/>
  <c r="G171" i="10"/>
  <c r="G172" i="10"/>
  <c r="G173" i="10"/>
  <c r="G174" i="10"/>
  <c r="G175" i="10"/>
  <c r="G176" i="10"/>
  <c r="G177" i="10"/>
  <c r="G178" i="10"/>
  <c r="G179" i="10"/>
  <c r="G180" i="10"/>
  <c r="G181" i="10"/>
  <c r="G182" i="10"/>
  <c r="G183" i="10"/>
  <c r="G184" i="10"/>
  <c r="G185" i="10"/>
  <c r="G186" i="10"/>
  <c r="G187" i="10"/>
  <c r="G188" i="10"/>
  <c r="G189" i="10"/>
  <c r="G190" i="10"/>
  <c r="G191" i="10"/>
  <c r="G192" i="10"/>
  <c r="G193" i="10"/>
  <c r="G194" i="10"/>
  <c r="G195" i="10"/>
  <c r="G196" i="10"/>
  <c r="G197" i="10"/>
  <c r="G198" i="10"/>
  <c r="G199" i="10"/>
  <c r="G200" i="10"/>
  <c r="G201" i="10"/>
  <c r="G202" i="10"/>
  <c r="G203" i="10"/>
  <c r="G204" i="10"/>
  <c r="G205" i="10"/>
  <c r="G206" i="10"/>
  <c r="G207" i="10"/>
  <c r="G208" i="10"/>
  <c r="G209" i="10"/>
  <c r="G210" i="10"/>
  <c r="G211" i="10"/>
  <c r="G212" i="10"/>
  <c r="G213" i="10"/>
  <c r="G214" i="10"/>
  <c r="G215" i="10"/>
  <c r="G216" i="10"/>
  <c r="G217" i="10"/>
  <c r="G218" i="10"/>
  <c r="G219" i="10"/>
  <c r="N219" i="10" s="1"/>
  <c r="O219" i="10" s="1"/>
  <c r="G220" i="10"/>
  <c r="G221" i="10"/>
  <c r="G222" i="10"/>
  <c r="G223" i="10"/>
  <c r="G224" i="10"/>
  <c r="G225" i="10"/>
  <c r="G226" i="10"/>
  <c r="G227" i="10"/>
  <c r="G228" i="10"/>
  <c r="G229" i="10"/>
  <c r="G230" i="10"/>
  <c r="G231" i="10"/>
  <c r="G232" i="10"/>
  <c r="G233" i="10"/>
  <c r="G234" i="10"/>
  <c r="G235" i="10"/>
  <c r="G236" i="10"/>
  <c r="G237" i="10"/>
  <c r="G238" i="10"/>
  <c r="G239" i="10"/>
  <c r="G240" i="10"/>
  <c r="G241" i="10"/>
  <c r="G242" i="10"/>
  <c r="G243" i="10"/>
  <c r="G244" i="10"/>
  <c r="G245" i="10"/>
  <c r="G246" i="10"/>
  <c r="G247" i="10"/>
  <c r="G248" i="10"/>
  <c r="G249" i="10"/>
  <c r="G250" i="10"/>
  <c r="G251" i="10"/>
  <c r="G252" i="10"/>
  <c r="G253" i="10"/>
  <c r="G254" i="10"/>
  <c r="G255" i="10"/>
  <c r="G256" i="10"/>
  <c r="G257" i="10"/>
  <c r="G258" i="10"/>
  <c r="G259" i="10"/>
  <c r="G260" i="10"/>
  <c r="G261" i="10"/>
  <c r="G262" i="10"/>
  <c r="G263" i="10"/>
  <c r="G264" i="10"/>
  <c r="G265" i="10"/>
  <c r="N265" i="10" s="1"/>
  <c r="O265" i="10" s="1"/>
  <c r="G266" i="10"/>
  <c r="G267" i="10"/>
  <c r="G268" i="10"/>
  <c r="G269" i="10"/>
  <c r="G270" i="10"/>
  <c r="G271" i="10"/>
  <c r="G272" i="10"/>
  <c r="G273" i="10"/>
  <c r="G274" i="10"/>
  <c r="G275" i="10"/>
  <c r="G276" i="10"/>
  <c r="G277" i="10"/>
  <c r="G278" i="10"/>
  <c r="G279" i="10"/>
  <c r="G280" i="10"/>
  <c r="G281" i="10"/>
  <c r="G282" i="10"/>
  <c r="G283" i="10"/>
  <c r="G284" i="10"/>
  <c r="G285" i="10"/>
  <c r="G286" i="10"/>
  <c r="G287" i="10"/>
  <c r="G288" i="10"/>
  <c r="G289" i="10"/>
  <c r="G290" i="10"/>
  <c r="G291" i="10"/>
  <c r="G292" i="10"/>
  <c r="G293" i="10"/>
  <c r="G294" i="10"/>
  <c r="G295" i="10"/>
  <c r="G296" i="10"/>
  <c r="N296" i="10" s="1"/>
  <c r="O296" i="10" s="1"/>
  <c r="G297" i="10"/>
  <c r="G298" i="10"/>
  <c r="G299" i="10"/>
  <c r="G300" i="10"/>
  <c r="G301" i="10"/>
  <c r="G302" i="10"/>
  <c r="G303" i="10"/>
  <c r="G304" i="10"/>
  <c r="G305" i="10"/>
  <c r="G306" i="10"/>
  <c r="G307" i="10"/>
  <c r="G308" i="10"/>
  <c r="G309" i="10"/>
  <c r="G310" i="10"/>
  <c r="G311" i="10"/>
  <c r="G312" i="10"/>
  <c r="G313" i="10"/>
  <c r="G314" i="10"/>
  <c r="G315" i="10"/>
  <c r="G316" i="10"/>
  <c r="G317" i="10"/>
  <c r="G318" i="10"/>
  <c r="G319" i="10"/>
  <c r="G320" i="10"/>
  <c r="G321" i="10"/>
  <c r="G322" i="10"/>
  <c r="G323" i="10"/>
  <c r="G324" i="10"/>
  <c r="G325" i="10"/>
  <c r="G326" i="10"/>
  <c r="G327" i="10"/>
  <c r="G328" i="10"/>
  <c r="G329" i="10"/>
  <c r="G330" i="10"/>
  <c r="G331" i="10"/>
  <c r="G332" i="10"/>
  <c r="G333" i="10"/>
  <c r="G334" i="10"/>
  <c r="B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36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68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100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1" i="10"/>
  <c r="F122" i="10"/>
  <c r="F132" i="10"/>
  <c r="F141" i="10"/>
  <c r="F142" i="10"/>
  <c r="F143" i="10"/>
  <c r="F144" i="10"/>
  <c r="F145" i="10"/>
  <c r="F146" i="10"/>
  <c r="F147" i="10"/>
  <c r="F148" i="10"/>
  <c r="F149" i="10"/>
  <c r="F150" i="10"/>
  <c r="F151" i="10"/>
  <c r="F152" i="10"/>
  <c r="F153" i="10"/>
  <c r="F154" i="10"/>
  <c r="F164" i="10"/>
  <c r="F173" i="10"/>
  <c r="F174" i="10"/>
  <c r="F175" i="10"/>
  <c r="F176" i="10"/>
  <c r="F177" i="10"/>
  <c r="F178" i="10"/>
  <c r="F179" i="10"/>
  <c r="F180" i="10"/>
  <c r="F181" i="10"/>
  <c r="F182" i="10"/>
  <c r="F183" i="10"/>
  <c r="F184" i="10"/>
  <c r="F185" i="10"/>
  <c r="F186" i="10"/>
  <c r="F196" i="10"/>
  <c r="F205" i="10"/>
  <c r="F206" i="10"/>
  <c r="F207" i="10"/>
  <c r="F208" i="10"/>
  <c r="F209" i="10"/>
  <c r="F210" i="10"/>
  <c r="F211" i="10"/>
  <c r="F212" i="10"/>
  <c r="F213" i="10"/>
  <c r="F214" i="10"/>
  <c r="F215" i="10"/>
  <c r="F216" i="10"/>
  <c r="F217" i="10"/>
  <c r="F218" i="10"/>
  <c r="F228" i="10"/>
  <c r="F237" i="10"/>
  <c r="F238" i="10"/>
  <c r="F239" i="10"/>
  <c r="F240" i="10"/>
  <c r="F241" i="10"/>
  <c r="F242" i="10"/>
  <c r="F243" i="10"/>
  <c r="F244" i="10"/>
  <c r="F246" i="10"/>
  <c r="F247" i="10"/>
  <c r="F248" i="10"/>
  <c r="F249" i="10"/>
  <c r="F250" i="10"/>
  <c r="F251" i="10"/>
  <c r="F260" i="10"/>
  <c r="F261" i="10"/>
  <c r="F269" i="10"/>
  <c r="F270" i="10"/>
  <c r="F271" i="10"/>
  <c r="F272" i="10"/>
  <c r="F273" i="10"/>
  <c r="F274" i="10"/>
  <c r="F275" i="10"/>
  <c r="F276" i="10"/>
  <c r="F277" i="10"/>
  <c r="F278" i="10"/>
  <c r="F279" i="10"/>
  <c r="F280" i="10"/>
  <c r="F281" i="10"/>
  <c r="F282" i="10"/>
  <c r="F283" i="10"/>
  <c r="F292" i="10"/>
  <c r="F293" i="10"/>
  <c r="F301" i="10"/>
  <c r="F302" i="10"/>
  <c r="F303" i="10"/>
  <c r="F304" i="10"/>
  <c r="F305" i="10"/>
  <c r="F306" i="10"/>
  <c r="F307" i="10"/>
  <c r="F308" i="10"/>
  <c r="F309" i="10"/>
  <c r="F310" i="10"/>
  <c r="F311" i="10"/>
  <c r="F312" i="10"/>
  <c r="F313" i="10"/>
  <c r="F314" i="10"/>
  <c r="F315" i="10"/>
  <c r="F324" i="10"/>
  <c r="F325" i="10"/>
  <c r="F333" i="10"/>
  <c r="F334" i="10"/>
  <c r="F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D83" i="10"/>
  <c r="D84" i="10"/>
  <c r="D85" i="10"/>
  <c r="D86" i="10"/>
  <c r="D87" i="10"/>
  <c r="D88" i="10"/>
  <c r="D89" i="10"/>
  <c r="D90" i="10"/>
  <c r="D91" i="10"/>
  <c r="D92" i="10"/>
  <c r="D93" i="10"/>
  <c r="D94" i="10"/>
  <c r="D95" i="10"/>
  <c r="D96" i="10"/>
  <c r="D97" i="10"/>
  <c r="D98" i="10"/>
  <c r="D99" i="10"/>
  <c r="D100" i="10"/>
  <c r="D101" i="10"/>
  <c r="D102" i="10"/>
  <c r="D103" i="10"/>
  <c r="D104" i="10"/>
  <c r="D105" i="10"/>
  <c r="D106" i="10"/>
  <c r="D107" i="10"/>
  <c r="D108" i="10"/>
  <c r="D109" i="10"/>
  <c r="D110" i="10"/>
  <c r="D111" i="10"/>
  <c r="D112" i="10"/>
  <c r="D113" i="10"/>
  <c r="D114" i="10"/>
  <c r="D115" i="10"/>
  <c r="D116" i="10"/>
  <c r="D117" i="10"/>
  <c r="D118" i="10"/>
  <c r="D119" i="10"/>
  <c r="D120" i="10"/>
  <c r="D121" i="10"/>
  <c r="D122" i="10"/>
  <c r="D123" i="10"/>
  <c r="D124" i="10"/>
  <c r="D125" i="10"/>
  <c r="D126" i="10"/>
  <c r="D127" i="10"/>
  <c r="D128" i="10"/>
  <c r="D129" i="10"/>
  <c r="D130" i="10"/>
  <c r="D131" i="10"/>
  <c r="D132" i="10"/>
  <c r="D133" i="10"/>
  <c r="D134" i="10"/>
  <c r="D135" i="10"/>
  <c r="D136" i="10"/>
  <c r="D137" i="10"/>
  <c r="D138" i="10"/>
  <c r="D139" i="10"/>
  <c r="D140" i="10"/>
  <c r="D141" i="10"/>
  <c r="D142" i="10"/>
  <c r="D143" i="10"/>
  <c r="D144" i="10"/>
  <c r="D145" i="10"/>
  <c r="D146" i="10"/>
  <c r="D147" i="10"/>
  <c r="D148" i="10"/>
  <c r="D149" i="10"/>
  <c r="D150" i="10"/>
  <c r="D151" i="10"/>
  <c r="D152" i="10"/>
  <c r="D153" i="10"/>
  <c r="D154" i="10"/>
  <c r="D155" i="10"/>
  <c r="D156" i="10"/>
  <c r="D157" i="10"/>
  <c r="D158" i="10"/>
  <c r="D159" i="10"/>
  <c r="D160" i="10"/>
  <c r="D161" i="10"/>
  <c r="D162" i="10"/>
  <c r="D163" i="10"/>
  <c r="D164" i="10"/>
  <c r="D165" i="10"/>
  <c r="D166" i="10"/>
  <c r="D167" i="10"/>
  <c r="D168" i="10"/>
  <c r="D169" i="10"/>
  <c r="D170" i="10"/>
  <c r="D171" i="10"/>
  <c r="D172" i="10"/>
  <c r="D173" i="10"/>
  <c r="D174" i="10"/>
  <c r="D175" i="10"/>
  <c r="D176" i="10"/>
  <c r="D177" i="10"/>
  <c r="D178" i="10"/>
  <c r="D179" i="10"/>
  <c r="D180" i="10"/>
  <c r="D181" i="10"/>
  <c r="D182" i="10"/>
  <c r="D183" i="10"/>
  <c r="D184" i="10"/>
  <c r="D185" i="10"/>
  <c r="D186" i="10"/>
  <c r="D187" i="10"/>
  <c r="D188" i="10"/>
  <c r="D189" i="10"/>
  <c r="D190" i="10"/>
  <c r="D191" i="10"/>
  <c r="D192" i="10"/>
  <c r="D193" i="10"/>
  <c r="D194" i="10"/>
  <c r="D195" i="10"/>
  <c r="D196" i="10"/>
  <c r="D197" i="10"/>
  <c r="D198" i="10"/>
  <c r="D199" i="10"/>
  <c r="D200" i="10"/>
  <c r="D201" i="10"/>
  <c r="D202" i="10"/>
  <c r="D203" i="10"/>
  <c r="D204" i="10"/>
  <c r="D205" i="10"/>
  <c r="D206" i="10"/>
  <c r="D207" i="10"/>
  <c r="D208" i="10"/>
  <c r="D209" i="10"/>
  <c r="D210" i="10"/>
  <c r="D211" i="10"/>
  <c r="D212" i="10"/>
  <c r="D213" i="10"/>
  <c r="D214" i="10"/>
  <c r="D215" i="10"/>
  <c r="D216" i="10"/>
  <c r="D217" i="10"/>
  <c r="D218" i="10"/>
  <c r="D219" i="10"/>
  <c r="D220" i="10"/>
  <c r="D221" i="10"/>
  <c r="D222" i="10"/>
  <c r="D223" i="10"/>
  <c r="D224" i="10"/>
  <c r="D225" i="10"/>
  <c r="D226" i="10"/>
  <c r="D227" i="10"/>
  <c r="D228" i="10"/>
  <c r="D229" i="10"/>
  <c r="D230" i="10"/>
  <c r="D231" i="10"/>
  <c r="D232" i="10"/>
  <c r="D233" i="10"/>
  <c r="D234" i="10"/>
  <c r="D235" i="10"/>
  <c r="D236" i="10"/>
  <c r="D237" i="10"/>
  <c r="D238" i="10"/>
  <c r="D239" i="10"/>
  <c r="D240" i="10"/>
  <c r="D241" i="10"/>
  <c r="D242" i="10"/>
  <c r="D243" i="10"/>
  <c r="D244" i="10"/>
  <c r="D245" i="10"/>
  <c r="D246" i="10"/>
  <c r="D247" i="10"/>
  <c r="D248" i="10"/>
  <c r="D249" i="10"/>
  <c r="D250" i="10"/>
  <c r="D251" i="10"/>
  <c r="D252" i="10"/>
  <c r="D253" i="10"/>
  <c r="D254" i="10"/>
  <c r="D255" i="10"/>
  <c r="D256" i="10"/>
  <c r="D257" i="10"/>
  <c r="D258" i="10"/>
  <c r="D259" i="10"/>
  <c r="D260" i="10"/>
  <c r="D261" i="10"/>
  <c r="D262" i="10"/>
  <c r="D263" i="10"/>
  <c r="D264" i="10"/>
  <c r="D265" i="10"/>
  <c r="D266" i="10"/>
  <c r="D267" i="10"/>
  <c r="D268" i="10"/>
  <c r="D269" i="10"/>
  <c r="D270" i="10"/>
  <c r="D271" i="10"/>
  <c r="D272" i="10"/>
  <c r="D273" i="10"/>
  <c r="D274" i="10"/>
  <c r="D275" i="10"/>
  <c r="D276" i="10"/>
  <c r="D277" i="10"/>
  <c r="D278" i="10"/>
  <c r="D279" i="10"/>
  <c r="D280" i="10"/>
  <c r="D281" i="10"/>
  <c r="D282" i="10"/>
  <c r="D283" i="10"/>
  <c r="D284" i="10"/>
  <c r="D285" i="10"/>
  <c r="D286" i="10"/>
  <c r="D287" i="10"/>
  <c r="D288" i="10"/>
  <c r="D289" i="10"/>
  <c r="D290" i="10"/>
  <c r="D291" i="10"/>
  <c r="D292" i="10"/>
  <c r="D293" i="10"/>
  <c r="D294" i="10"/>
  <c r="D295" i="10"/>
  <c r="D296" i="10"/>
  <c r="D297" i="10"/>
  <c r="D298" i="10"/>
  <c r="D299" i="10"/>
  <c r="D300" i="10"/>
  <c r="D301" i="10"/>
  <c r="D302" i="10"/>
  <c r="D303" i="10"/>
  <c r="D304" i="10"/>
  <c r="D305" i="10"/>
  <c r="D306" i="10"/>
  <c r="D307" i="10"/>
  <c r="D308" i="10"/>
  <c r="D309" i="10"/>
  <c r="D310" i="10"/>
  <c r="D311" i="10"/>
  <c r="D312" i="10"/>
  <c r="D313" i="10"/>
  <c r="D314" i="10"/>
  <c r="D315" i="10"/>
  <c r="D316" i="10"/>
  <c r="D317" i="10"/>
  <c r="D318" i="10"/>
  <c r="D319" i="10"/>
  <c r="D320" i="10"/>
  <c r="D321" i="10"/>
  <c r="D322" i="10"/>
  <c r="D323" i="10"/>
  <c r="D324" i="10"/>
  <c r="D325" i="10"/>
  <c r="D326" i="10"/>
  <c r="D327" i="10"/>
  <c r="D328" i="10"/>
  <c r="D329" i="10"/>
  <c r="D330" i="10"/>
  <c r="D331" i="10"/>
  <c r="D332" i="10"/>
  <c r="D333" i="10"/>
  <c r="D334" i="10"/>
  <c r="D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80" i="10"/>
  <c r="C81" i="10"/>
  <c r="C82" i="10"/>
  <c r="C83" i="10"/>
  <c r="C84" i="10"/>
  <c r="C85" i="10"/>
  <c r="C86" i="10"/>
  <c r="C87" i="10"/>
  <c r="C88" i="10"/>
  <c r="C89" i="10"/>
  <c r="C90" i="10"/>
  <c r="C91" i="10"/>
  <c r="C92" i="10"/>
  <c r="C93" i="10"/>
  <c r="C94" i="10"/>
  <c r="C95" i="10"/>
  <c r="C96" i="10"/>
  <c r="C97" i="10"/>
  <c r="C98" i="10"/>
  <c r="C99" i="10"/>
  <c r="C100" i="10"/>
  <c r="C101" i="10"/>
  <c r="C102" i="10"/>
  <c r="C103" i="10"/>
  <c r="C104" i="10"/>
  <c r="C105" i="10"/>
  <c r="C106" i="10"/>
  <c r="C107" i="10"/>
  <c r="C108" i="10"/>
  <c r="C109" i="10"/>
  <c r="C110" i="10"/>
  <c r="C111" i="10"/>
  <c r="C112" i="10"/>
  <c r="C113" i="10"/>
  <c r="C114" i="10"/>
  <c r="C115" i="10"/>
  <c r="C116" i="10"/>
  <c r="C117" i="10"/>
  <c r="C118" i="10"/>
  <c r="C119" i="10"/>
  <c r="C120" i="10"/>
  <c r="C121" i="10"/>
  <c r="C122" i="10"/>
  <c r="C123" i="10"/>
  <c r="C124" i="10"/>
  <c r="C125" i="10"/>
  <c r="C126" i="10"/>
  <c r="C127" i="10"/>
  <c r="C128" i="10"/>
  <c r="C129" i="10"/>
  <c r="C130" i="10"/>
  <c r="C131" i="10"/>
  <c r="C132" i="10"/>
  <c r="C133" i="10"/>
  <c r="C134" i="10"/>
  <c r="C135" i="10"/>
  <c r="C136" i="10"/>
  <c r="C137" i="10"/>
  <c r="C138" i="10"/>
  <c r="C139" i="10"/>
  <c r="C140" i="10"/>
  <c r="C141" i="10"/>
  <c r="C142" i="10"/>
  <c r="C143" i="10"/>
  <c r="C144" i="10"/>
  <c r="C145" i="10"/>
  <c r="C146" i="10"/>
  <c r="C147" i="10"/>
  <c r="C148" i="10"/>
  <c r="C149" i="10"/>
  <c r="C150" i="10"/>
  <c r="C151" i="10"/>
  <c r="C152" i="10"/>
  <c r="C153" i="10"/>
  <c r="C154" i="10"/>
  <c r="C155" i="10"/>
  <c r="C156" i="10"/>
  <c r="C157" i="10"/>
  <c r="C158" i="10"/>
  <c r="C159" i="10"/>
  <c r="C160" i="10"/>
  <c r="C161" i="10"/>
  <c r="C162" i="10"/>
  <c r="C163" i="10"/>
  <c r="C164" i="10"/>
  <c r="C165" i="10"/>
  <c r="C166" i="10"/>
  <c r="C167" i="10"/>
  <c r="C168" i="10"/>
  <c r="C169" i="10"/>
  <c r="C170" i="10"/>
  <c r="C171" i="10"/>
  <c r="C172" i="10"/>
  <c r="C173" i="10"/>
  <c r="C174" i="10"/>
  <c r="C175" i="10"/>
  <c r="C176" i="10"/>
  <c r="C177" i="10"/>
  <c r="C178" i="10"/>
  <c r="C179" i="10"/>
  <c r="C180" i="10"/>
  <c r="C181" i="10"/>
  <c r="C182" i="10"/>
  <c r="C183" i="10"/>
  <c r="C184" i="10"/>
  <c r="C185" i="10"/>
  <c r="C186" i="10"/>
  <c r="C187" i="10"/>
  <c r="C188" i="10"/>
  <c r="C189" i="10"/>
  <c r="C190" i="10"/>
  <c r="C191" i="10"/>
  <c r="C192" i="10"/>
  <c r="C193" i="10"/>
  <c r="C194" i="10"/>
  <c r="C195" i="10"/>
  <c r="C196" i="10"/>
  <c r="C197" i="10"/>
  <c r="C198" i="10"/>
  <c r="C199" i="10"/>
  <c r="C200" i="10"/>
  <c r="C201" i="10"/>
  <c r="C202" i="10"/>
  <c r="C203" i="10"/>
  <c r="C204" i="10"/>
  <c r="C205" i="10"/>
  <c r="C206" i="10"/>
  <c r="C207" i="10"/>
  <c r="C208" i="10"/>
  <c r="C209" i="10"/>
  <c r="C210" i="10"/>
  <c r="C211" i="10"/>
  <c r="C212" i="10"/>
  <c r="C213" i="10"/>
  <c r="C214" i="10"/>
  <c r="C215" i="10"/>
  <c r="C216" i="10"/>
  <c r="C217" i="10"/>
  <c r="C218" i="10"/>
  <c r="C219" i="10"/>
  <c r="C220" i="10"/>
  <c r="C221" i="10"/>
  <c r="C222" i="10"/>
  <c r="C223" i="10"/>
  <c r="C224" i="10"/>
  <c r="C225" i="10"/>
  <c r="C226" i="10"/>
  <c r="C227" i="10"/>
  <c r="C228" i="10"/>
  <c r="C229" i="10"/>
  <c r="C230" i="10"/>
  <c r="C231" i="10"/>
  <c r="C232" i="10"/>
  <c r="C233" i="10"/>
  <c r="C234" i="10"/>
  <c r="C235" i="10"/>
  <c r="C236" i="10"/>
  <c r="C237" i="10"/>
  <c r="C238" i="10"/>
  <c r="C239" i="10"/>
  <c r="C240" i="10"/>
  <c r="C241" i="10"/>
  <c r="C242" i="10"/>
  <c r="C243" i="10"/>
  <c r="C244" i="10"/>
  <c r="C245" i="10"/>
  <c r="C246" i="10"/>
  <c r="C247" i="10"/>
  <c r="C248" i="10"/>
  <c r="C249" i="10"/>
  <c r="C250" i="10"/>
  <c r="C251" i="10"/>
  <c r="C252" i="10"/>
  <c r="C253" i="10"/>
  <c r="C254" i="10"/>
  <c r="C255" i="10"/>
  <c r="C256" i="10"/>
  <c r="C257" i="10"/>
  <c r="C258" i="10"/>
  <c r="C259" i="10"/>
  <c r="C260" i="10"/>
  <c r="C261" i="10"/>
  <c r="C262" i="10"/>
  <c r="C263" i="10"/>
  <c r="C264" i="10"/>
  <c r="C265" i="10"/>
  <c r="C266" i="10"/>
  <c r="C267" i="10"/>
  <c r="C268" i="10"/>
  <c r="C269" i="10"/>
  <c r="C270" i="10"/>
  <c r="C271" i="10"/>
  <c r="C272" i="10"/>
  <c r="C273" i="10"/>
  <c r="C274" i="10"/>
  <c r="C275" i="10"/>
  <c r="C276" i="10"/>
  <c r="C277" i="10"/>
  <c r="C278" i="10"/>
  <c r="C279" i="10"/>
  <c r="C280" i="10"/>
  <c r="C281" i="10"/>
  <c r="C282" i="10"/>
  <c r="C283" i="10"/>
  <c r="C284" i="10"/>
  <c r="C285" i="10"/>
  <c r="C286" i="10"/>
  <c r="C287" i="10"/>
  <c r="C288" i="10"/>
  <c r="C289" i="10"/>
  <c r="C290" i="10"/>
  <c r="C291" i="10"/>
  <c r="C292" i="10"/>
  <c r="C293" i="10"/>
  <c r="C294" i="10"/>
  <c r="C295" i="10"/>
  <c r="C296" i="10"/>
  <c r="C297" i="10"/>
  <c r="C298" i="10"/>
  <c r="C299" i="10"/>
  <c r="C300" i="10"/>
  <c r="C301" i="10"/>
  <c r="C302" i="10"/>
  <c r="C303" i="10"/>
  <c r="C304" i="10"/>
  <c r="C305" i="10"/>
  <c r="C306" i="10"/>
  <c r="C307" i="10"/>
  <c r="C308" i="10"/>
  <c r="C309" i="10"/>
  <c r="C310" i="10"/>
  <c r="C311" i="10"/>
  <c r="C312" i="10"/>
  <c r="C313" i="10"/>
  <c r="C314" i="10"/>
  <c r="C315" i="10"/>
  <c r="C316" i="10"/>
  <c r="C317" i="10"/>
  <c r="C318" i="10"/>
  <c r="C319" i="10"/>
  <c r="C320" i="10"/>
  <c r="C321" i="10"/>
  <c r="C322" i="10"/>
  <c r="C323" i="10"/>
  <c r="C324" i="10"/>
  <c r="C325" i="10"/>
  <c r="C326" i="10"/>
  <c r="C327" i="10"/>
  <c r="C328" i="10"/>
  <c r="C329" i="10"/>
  <c r="C330" i="10"/>
  <c r="C331" i="10"/>
  <c r="C332" i="10"/>
  <c r="C333" i="10"/>
  <c r="C334" i="10"/>
  <c r="C10" i="10"/>
  <c r="B334" i="10"/>
  <c r="B333" i="10"/>
  <c r="B332" i="10"/>
  <c r="B331" i="10"/>
  <c r="B330" i="10"/>
  <c r="B329" i="10"/>
  <c r="B328" i="10"/>
  <c r="N327" i="10"/>
  <c r="O327" i="10" s="1"/>
  <c r="B327" i="10"/>
  <c r="B326" i="10"/>
  <c r="B325" i="10"/>
  <c r="B324" i="10"/>
  <c r="B323" i="10"/>
  <c r="B322" i="10"/>
  <c r="B321" i="10"/>
  <c r="B320" i="10"/>
  <c r="B319" i="10"/>
  <c r="B318" i="10"/>
  <c r="B317" i="10"/>
  <c r="B316" i="10"/>
  <c r="N316" i="10" s="1"/>
  <c r="O316" i="10" s="1"/>
  <c r="B315" i="10"/>
  <c r="B314" i="10"/>
  <c r="B313" i="10"/>
  <c r="B312" i="10"/>
  <c r="N311" i="10"/>
  <c r="O311" i="10" s="1"/>
  <c r="B311" i="10"/>
  <c r="B310" i="10"/>
  <c r="B309" i="10"/>
  <c r="B308" i="10"/>
  <c r="B307" i="10"/>
  <c r="N307" i="10" s="1"/>
  <c r="O307" i="10" s="1"/>
  <c r="B306" i="10"/>
  <c r="B305" i="10"/>
  <c r="B304" i="10"/>
  <c r="B303" i="10"/>
  <c r="B302" i="10"/>
  <c r="B301" i="10"/>
  <c r="B300" i="10"/>
  <c r="B299" i="10"/>
  <c r="B298" i="10"/>
  <c r="B297" i="10"/>
  <c r="B296" i="10"/>
  <c r="B295" i="10"/>
  <c r="B294" i="10"/>
  <c r="B293" i="10"/>
  <c r="B292" i="10"/>
  <c r="B291" i="10"/>
  <c r="B290" i="10"/>
  <c r="B289" i="10"/>
  <c r="B288" i="10"/>
  <c r="B287" i="10"/>
  <c r="B286" i="10"/>
  <c r="B285" i="10"/>
  <c r="B284" i="10"/>
  <c r="B283" i="10"/>
  <c r="B282" i="10"/>
  <c r="B281" i="10"/>
  <c r="B280" i="10"/>
  <c r="B279" i="10"/>
  <c r="B278" i="10"/>
  <c r="B277" i="10"/>
  <c r="B276" i="10"/>
  <c r="B275" i="10"/>
  <c r="B274" i="10"/>
  <c r="B273" i="10"/>
  <c r="B272" i="10"/>
  <c r="N272" i="10" s="1"/>
  <c r="O272" i="10" s="1"/>
  <c r="B271" i="10"/>
  <c r="B270" i="10"/>
  <c r="B269" i="10"/>
  <c r="B268" i="10"/>
  <c r="B267" i="10"/>
  <c r="B266" i="10"/>
  <c r="B265" i="10"/>
  <c r="B264" i="10"/>
  <c r="B263" i="10"/>
  <c r="B262" i="10"/>
  <c r="B261" i="10"/>
  <c r="B260" i="10"/>
  <c r="B259" i="10"/>
  <c r="B258" i="10"/>
  <c r="B257" i="10"/>
  <c r="B256" i="10"/>
  <c r="B255" i="10"/>
  <c r="B254" i="10"/>
  <c r="B253" i="10"/>
  <c r="B252" i="10"/>
  <c r="B251" i="10"/>
  <c r="N251" i="10" s="1"/>
  <c r="O251" i="10" s="1"/>
  <c r="N250" i="10"/>
  <c r="O250" i="10" s="1"/>
  <c r="B250" i="10"/>
  <c r="B249" i="10"/>
  <c r="N249" i="10" s="1"/>
  <c r="O249" i="10" s="1"/>
  <c r="B248" i="10"/>
  <c r="B247" i="10"/>
  <c r="B246" i="10"/>
  <c r="B245" i="10"/>
  <c r="B244" i="10"/>
  <c r="B243" i="10"/>
  <c r="B242" i="10"/>
  <c r="B241" i="10"/>
  <c r="B240" i="10"/>
  <c r="N240" i="10" s="1"/>
  <c r="O240" i="10" s="1"/>
  <c r="B239" i="10"/>
  <c r="B238" i="10"/>
  <c r="B237" i="10"/>
  <c r="B236" i="10"/>
  <c r="N235" i="10"/>
  <c r="O235" i="10" s="1"/>
  <c r="B235" i="10"/>
  <c r="B234" i="10"/>
  <c r="B233" i="10"/>
  <c r="B232" i="10"/>
  <c r="B231" i="10"/>
  <c r="B230" i="10"/>
  <c r="B229" i="10"/>
  <c r="B228" i="10"/>
  <c r="B227" i="10"/>
  <c r="B226" i="10"/>
  <c r="B225" i="10"/>
  <c r="B224" i="10"/>
  <c r="B223" i="10"/>
  <c r="B222" i="10"/>
  <c r="B221" i="10"/>
  <c r="B220" i="10"/>
  <c r="B219" i="10"/>
  <c r="B218" i="10"/>
  <c r="B217" i="10"/>
  <c r="B216" i="10"/>
  <c r="B215" i="10"/>
  <c r="B214" i="10"/>
  <c r="B213" i="10"/>
  <c r="B212" i="10"/>
  <c r="B211" i="10"/>
  <c r="B210" i="10"/>
  <c r="B209" i="10"/>
  <c r="B208" i="10"/>
  <c r="B207" i="10"/>
  <c r="B206" i="10"/>
  <c r="B205" i="10"/>
  <c r="B204" i="10"/>
  <c r="N203" i="10"/>
  <c r="O203" i="10" s="1"/>
  <c r="B203" i="10"/>
  <c r="B202" i="10"/>
  <c r="B201" i="10"/>
  <c r="B200" i="10"/>
  <c r="B199" i="10"/>
  <c r="B198" i="10"/>
  <c r="B197" i="10"/>
  <c r="B196" i="10"/>
  <c r="B195" i="10"/>
  <c r="B194" i="10"/>
  <c r="N194" i="10" s="1"/>
  <c r="O194" i="10" s="1"/>
  <c r="B193" i="10"/>
  <c r="B192" i="10"/>
  <c r="B191" i="10"/>
  <c r="B190" i="10"/>
  <c r="B189" i="10"/>
  <c r="B188" i="10"/>
  <c r="B187" i="10"/>
  <c r="B186" i="10"/>
  <c r="N186" i="10" s="1"/>
  <c r="O186" i="10" s="1"/>
  <c r="B185" i="10"/>
  <c r="B184" i="10"/>
  <c r="B183" i="10"/>
  <c r="B182" i="10"/>
  <c r="N182" i="10" s="1"/>
  <c r="O182" i="10" s="1"/>
  <c r="B181" i="10"/>
  <c r="B180" i="10"/>
  <c r="B179" i="10"/>
  <c r="B178" i="10"/>
  <c r="B177" i="10"/>
  <c r="B176" i="10"/>
  <c r="B175" i="10"/>
  <c r="B174" i="10"/>
  <c r="B173" i="10"/>
  <c r="B172" i="10"/>
  <c r="B171" i="10"/>
  <c r="B170" i="10"/>
  <c r="B169" i="10"/>
  <c r="B168" i="10"/>
  <c r="N167" i="10"/>
  <c r="O167" i="10" s="1"/>
  <c r="B167" i="10"/>
  <c r="B166" i="10"/>
  <c r="B165" i="10"/>
  <c r="B164" i="10"/>
  <c r="B163" i="10"/>
  <c r="B162" i="10"/>
  <c r="B161" i="10"/>
  <c r="B160" i="10"/>
  <c r="B159" i="10"/>
  <c r="B158" i="10"/>
  <c r="B157" i="10"/>
  <c r="B156" i="10"/>
  <c r="B155" i="10"/>
  <c r="B154" i="10"/>
  <c r="B153" i="10"/>
  <c r="B152" i="10"/>
  <c r="B151" i="10"/>
  <c r="B150" i="10"/>
  <c r="B149" i="10"/>
  <c r="B148" i="10"/>
  <c r="B147" i="10"/>
  <c r="N147" i="10" s="1"/>
  <c r="O147" i="10" s="1"/>
  <c r="B146" i="10"/>
  <c r="B145" i="10"/>
  <c r="B144" i="10"/>
  <c r="B143" i="10"/>
  <c r="B142" i="10"/>
  <c r="B141" i="10"/>
  <c r="B140" i="10"/>
  <c r="B139" i="10"/>
  <c r="B138" i="10"/>
  <c r="N138" i="10" s="1"/>
  <c r="O138" i="10" s="1"/>
  <c r="N137" i="10"/>
  <c r="O137" i="10" s="1"/>
  <c r="B137" i="10"/>
  <c r="B136" i="10"/>
  <c r="B135" i="10"/>
  <c r="B134" i="10"/>
  <c r="B133" i="10"/>
  <c r="B132" i="10"/>
  <c r="B131" i="10"/>
  <c r="B130" i="10"/>
  <c r="B129" i="10"/>
  <c r="B128" i="10"/>
  <c r="B127" i="10"/>
  <c r="B126" i="10"/>
  <c r="B125" i="10"/>
  <c r="B124" i="10"/>
  <c r="B123" i="10"/>
  <c r="B122" i="10"/>
  <c r="B121" i="10"/>
  <c r="B120" i="10"/>
  <c r="B119" i="10"/>
  <c r="B118" i="10"/>
  <c r="B117" i="10"/>
  <c r="B116" i="10"/>
  <c r="B115" i="10"/>
  <c r="B114" i="10"/>
  <c r="B113" i="10"/>
  <c r="N112" i="10"/>
  <c r="O112" i="10" s="1"/>
  <c r="B112" i="10"/>
  <c r="B111" i="10"/>
  <c r="B110" i="10"/>
  <c r="B109" i="10"/>
  <c r="N109" i="10" s="1"/>
  <c r="O109" i="10" s="1"/>
  <c r="B108" i="10"/>
  <c r="N107" i="10"/>
  <c r="O107" i="10" s="1"/>
  <c r="B107" i="10"/>
  <c r="B106" i="10"/>
  <c r="B105" i="10"/>
  <c r="N104" i="10"/>
  <c r="O104" i="10" s="1"/>
  <c r="B104" i="10"/>
  <c r="B103" i="10"/>
  <c r="N103" i="10" s="1"/>
  <c r="O103" i="10" s="1"/>
  <c r="B102" i="10"/>
  <c r="B101" i="10"/>
  <c r="B100" i="10"/>
  <c r="B99" i="10"/>
  <c r="B98" i="10"/>
  <c r="N98" i="10" s="1"/>
  <c r="O98" i="10" s="1"/>
  <c r="B97" i="10"/>
  <c r="N96" i="10"/>
  <c r="O96" i="10" s="1"/>
  <c r="B96" i="10"/>
  <c r="B95" i="10"/>
  <c r="B94" i="10"/>
  <c r="N94" i="10" s="1"/>
  <c r="O94" i="10" s="1"/>
  <c r="B93" i="10"/>
  <c r="B92" i="10"/>
  <c r="N92" i="10" s="1"/>
  <c r="O92" i="10" s="1"/>
  <c r="B91" i="10"/>
  <c r="B90" i="10"/>
  <c r="N89" i="10"/>
  <c r="O89" i="10" s="1"/>
  <c r="B89" i="10"/>
  <c r="B88" i="10"/>
  <c r="B87" i="10"/>
  <c r="B86" i="10"/>
  <c r="B85" i="10"/>
  <c r="N85" i="10" s="1"/>
  <c r="O85" i="10" s="1"/>
  <c r="B84" i="10"/>
  <c r="N83" i="10"/>
  <c r="O83" i="10" s="1"/>
  <c r="B83" i="10"/>
  <c r="B82" i="10"/>
  <c r="B81" i="10"/>
  <c r="B80" i="10"/>
  <c r="B79" i="10"/>
  <c r="B78" i="10"/>
  <c r="B77" i="10"/>
  <c r="B76" i="10"/>
  <c r="B75" i="10"/>
  <c r="B74" i="10"/>
  <c r="B73" i="10"/>
  <c r="B72" i="10"/>
  <c r="B71" i="10"/>
  <c r="B70" i="10"/>
  <c r="B69" i="10"/>
  <c r="B68" i="10"/>
  <c r="B67" i="10"/>
  <c r="B66" i="10"/>
  <c r="B65" i="10"/>
  <c r="B64" i="10"/>
  <c r="B63" i="10"/>
  <c r="B62" i="10"/>
  <c r="B61" i="10"/>
  <c r="B60" i="10"/>
  <c r="B59" i="10"/>
  <c r="B58" i="10"/>
  <c r="B57" i="10"/>
  <c r="B56" i="10"/>
  <c r="B55" i="10"/>
  <c r="B54" i="10"/>
  <c r="N53" i="10"/>
  <c r="O53" i="10" s="1"/>
  <c r="B53" i="10"/>
  <c r="B52" i="10"/>
  <c r="B51" i="10"/>
  <c r="B50" i="10"/>
  <c r="B49" i="10"/>
  <c r="B48" i="10"/>
  <c r="N48" i="10" s="1"/>
  <c r="O48" i="10" s="1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N26" i="10" s="1"/>
  <c r="O26" i="10" s="1"/>
  <c r="B25" i="10"/>
  <c r="B24" i="10"/>
  <c r="B23" i="10"/>
  <c r="B22" i="10"/>
  <c r="B21" i="10"/>
  <c r="B20" i="10"/>
  <c r="B19" i="10"/>
  <c r="N19" i="10" s="1"/>
  <c r="O19" i="10" s="1"/>
  <c r="B18" i="10"/>
  <c r="N18" i="10" s="1"/>
  <c r="O18" i="10" s="1"/>
  <c r="B17" i="10"/>
  <c r="B16" i="10"/>
  <c r="N15" i="10"/>
  <c r="O15" i="10" s="1"/>
  <c r="B15" i="10"/>
  <c r="B14" i="10"/>
  <c r="B13" i="10"/>
  <c r="B12" i="10"/>
  <c r="B11" i="10"/>
  <c r="G10" i="10"/>
  <c r="D6" i="10"/>
  <c r="B6" i="10"/>
  <c r="J99" i="10" s="1"/>
  <c r="D336" i="9"/>
  <c r="E336" i="9"/>
  <c r="F336" i="9"/>
  <c r="D337" i="9"/>
  <c r="E337" i="9"/>
  <c r="F337" i="9"/>
  <c r="D338" i="9"/>
  <c r="E338" i="9"/>
  <c r="F338" i="9"/>
  <c r="D339" i="9"/>
  <c r="E339" i="9"/>
  <c r="F339" i="9"/>
  <c r="D340" i="9"/>
  <c r="E340" i="9"/>
  <c r="F340" i="9"/>
  <c r="Z10" i="9"/>
  <c r="L16" i="9"/>
  <c r="L18" i="9"/>
  <c r="L32" i="9"/>
  <c r="L40" i="9"/>
  <c r="L50" i="9"/>
  <c r="L53" i="9"/>
  <c r="L56" i="9"/>
  <c r="L64" i="9"/>
  <c r="L69" i="9"/>
  <c r="L72" i="9"/>
  <c r="L77" i="9"/>
  <c r="L85" i="9"/>
  <c r="L93" i="9"/>
  <c r="L104" i="9"/>
  <c r="L106" i="9"/>
  <c r="L109" i="9"/>
  <c r="L117" i="9"/>
  <c r="L128" i="9"/>
  <c r="L133" i="9"/>
  <c r="L136" i="9"/>
  <c r="L144" i="9"/>
  <c r="L146" i="9"/>
  <c r="L152" i="9"/>
  <c r="L168" i="9"/>
  <c r="L173" i="9"/>
  <c r="L181" i="9"/>
  <c r="L184" i="9"/>
  <c r="L187" i="9"/>
  <c r="L197" i="9"/>
  <c r="L203" i="9"/>
  <c r="L207" i="9"/>
  <c r="L223" i="9"/>
  <c r="L232" i="9"/>
  <c r="L234" i="9"/>
  <c r="L240" i="9"/>
  <c r="L251" i="9"/>
  <c r="L271" i="9"/>
  <c r="L282" i="9"/>
  <c r="L293" i="9"/>
  <c r="L299" i="9"/>
  <c r="L309" i="9"/>
  <c r="L314" i="9"/>
  <c r="L328" i="9"/>
  <c r="B11" i="9"/>
  <c r="I11" i="9" s="1"/>
  <c r="C11" i="9"/>
  <c r="D11" i="9"/>
  <c r="E11" i="9"/>
  <c r="F11" i="9"/>
  <c r="G11" i="9"/>
  <c r="H11" i="9"/>
  <c r="K11" i="9"/>
  <c r="B12" i="9"/>
  <c r="C12" i="9"/>
  <c r="D12" i="9"/>
  <c r="E12" i="9"/>
  <c r="F12" i="9"/>
  <c r="G12" i="9"/>
  <c r="H12" i="9"/>
  <c r="K12" i="9"/>
  <c r="B13" i="9"/>
  <c r="C13" i="9"/>
  <c r="D13" i="9"/>
  <c r="E13" i="9"/>
  <c r="F13" i="9"/>
  <c r="J13" i="9" s="1"/>
  <c r="G13" i="9"/>
  <c r="H13" i="9"/>
  <c r="L13" i="9" s="1"/>
  <c r="I13" i="9"/>
  <c r="K13" i="9"/>
  <c r="B14" i="9"/>
  <c r="C14" i="9"/>
  <c r="D14" i="9"/>
  <c r="E14" i="9"/>
  <c r="F14" i="9"/>
  <c r="K14" i="9"/>
  <c r="B15" i="9"/>
  <c r="C15" i="9"/>
  <c r="D15" i="9"/>
  <c r="E15" i="9"/>
  <c r="F15" i="9"/>
  <c r="G15" i="9"/>
  <c r="L15" i="9" s="1"/>
  <c r="H15" i="9"/>
  <c r="I15" i="9"/>
  <c r="J15" i="9"/>
  <c r="K15" i="9"/>
  <c r="B16" i="9"/>
  <c r="C16" i="9"/>
  <c r="G16" i="9" s="1"/>
  <c r="D16" i="9"/>
  <c r="E16" i="9"/>
  <c r="I16" i="9" s="1"/>
  <c r="F16" i="9"/>
  <c r="H16" i="9"/>
  <c r="J16" i="9"/>
  <c r="K16" i="9"/>
  <c r="B17" i="9"/>
  <c r="C17" i="9"/>
  <c r="D17" i="9"/>
  <c r="E17" i="9"/>
  <c r="F17" i="9"/>
  <c r="K17" i="9"/>
  <c r="B18" i="9"/>
  <c r="G18" i="9" s="1"/>
  <c r="C18" i="9"/>
  <c r="D18" i="9"/>
  <c r="E18" i="9"/>
  <c r="F18" i="9"/>
  <c r="H18" i="9"/>
  <c r="I18" i="9"/>
  <c r="J18" i="9"/>
  <c r="K18" i="9"/>
  <c r="B19" i="9"/>
  <c r="C19" i="9"/>
  <c r="D19" i="9"/>
  <c r="E19" i="9"/>
  <c r="F19" i="9"/>
  <c r="G19" i="9"/>
  <c r="J19" i="9"/>
  <c r="K19" i="9"/>
  <c r="B20" i="9"/>
  <c r="C20" i="9"/>
  <c r="D20" i="9"/>
  <c r="E20" i="9"/>
  <c r="F20" i="9"/>
  <c r="G20" i="9"/>
  <c r="K20" i="9"/>
  <c r="B21" i="9"/>
  <c r="C21" i="9"/>
  <c r="G21" i="9" s="1"/>
  <c r="L21" i="9" s="1"/>
  <c r="D21" i="9"/>
  <c r="H21" i="9" s="1"/>
  <c r="E21" i="9"/>
  <c r="I21" i="9" s="1"/>
  <c r="F21" i="9"/>
  <c r="J21" i="9"/>
  <c r="K21" i="9"/>
  <c r="B22" i="9"/>
  <c r="C22" i="9"/>
  <c r="D22" i="9"/>
  <c r="E22" i="9"/>
  <c r="F22" i="9"/>
  <c r="I22" i="9"/>
  <c r="K22" i="9"/>
  <c r="B23" i="9"/>
  <c r="J23" i="9" s="1"/>
  <c r="C23" i="9"/>
  <c r="D23" i="9"/>
  <c r="E23" i="9"/>
  <c r="F23" i="9"/>
  <c r="K23" i="9"/>
  <c r="B24" i="9"/>
  <c r="C24" i="9"/>
  <c r="D24" i="9"/>
  <c r="E24" i="9"/>
  <c r="I24" i="9" s="1"/>
  <c r="F24" i="9"/>
  <c r="J24" i="9" s="1"/>
  <c r="G24" i="9"/>
  <c r="H24" i="9"/>
  <c r="K24" i="9"/>
  <c r="B25" i="9"/>
  <c r="C25" i="9"/>
  <c r="D25" i="9"/>
  <c r="E25" i="9"/>
  <c r="I25" i="9" s="1"/>
  <c r="F25" i="9"/>
  <c r="J25" i="9" s="1"/>
  <c r="K25" i="9"/>
  <c r="B26" i="9"/>
  <c r="C26" i="9"/>
  <c r="D26" i="9"/>
  <c r="E26" i="9"/>
  <c r="F26" i="9"/>
  <c r="G26" i="9"/>
  <c r="L26" i="9" s="1"/>
  <c r="H26" i="9"/>
  <c r="I26" i="9"/>
  <c r="J26" i="9"/>
  <c r="K26" i="9"/>
  <c r="B27" i="9"/>
  <c r="C27" i="9"/>
  <c r="D27" i="9"/>
  <c r="E27" i="9"/>
  <c r="F27" i="9"/>
  <c r="G27" i="9"/>
  <c r="H27" i="9"/>
  <c r="I27" i="9"/>
  <c r="J27" i="9"/>
  <c r="K27" i="9"/>
  <c r="B28" i="9"/>
  <c r="C28" i="9"/>
  <c r="D28" i="9"/>
  <c r="E28" i="9"/>
  <c r="F28" i="9"/>
  <c r="G28" i="9"/>
  <c r="H28" i="9"/>
  <c r="K28" i="9"/>
  <c r="B29" i="9"/>
  <c r="C29" i="9"/>
  <c r="G29" i="9" s="1"/>
  <c r="D29" i="9"/>
  <c r="E29" i="9"/>
  <c r="F29" i="9"/>
  <c r="J29" i="9" s="1"/>
  <c r="H29" i="9"/>
  <c r="I29" i="9"/>
  <c r="K29" i="9"/>
  <c r="B30" i="9"/>
  <c r="C30" i="9"/>
  <c r="D30" i="9"/>
  <c r="E30" i="9"/>
  <c r="F30" i="9"/>
  <c r="K30" i="9"/>
  <c r="B31" i="9"/>
  <c r="C31" i="9"/>
  <c r="D31" i="9"/>
  <c r="E31" i="9"/>
  <c r="F31" i="9"/>
  <c r="G31" i="9"/>
  <c r="H31" i="9"/>
  <c r="I31" i="9"/>
  <c r="J31" i="9"/>
  <c r="L31" i="9" s="1"/>
  <c r="K31" i="9"/>
  <c r="B32" i="9"/>
  <c r="C32" i="9"/>
  <c r="G32" i="9" s="1"/>
  <c r="D32" i="9"/>
  <c r="E32" i="9"/>
  <c r="F32" i="9"/>
  <c r="H32" i="9"/>
  <c r="I32" i="9"/>
  <c r="J32" i="9"/>
  <c r="K32" i="9"/>
  <c r="B33" i="9"/>
  <c r="C33" i="9"/>
  <c r="D33" i="9"/>
  <c r="E33" i="9"/>
  <c r="F33" i="9"/>
  <c r="K33" i="9"/>
  <c r="B34" i="9"/>
  <c r="C34" i="9"/>
  <c r="G34" i="9" s="1"/>
  <c r="L34" i="9" s="1"/>
  <c r="D34" i="9"/>
  <c r="E34" i="9"/>
  <c r="F34" i="9"/>
  <c r="H34" i="9"/>
  <c r="I34" i="9"/>
  <c r="J34" i="9"/>
  <c r="K34" i="9"/>
  <c r="B35" i="9"/>
  <c r="C35" i="9"/>
  <c r="D35" i="9"/>
  <c r="E35" i="9"/>
  <c r="F35" i="9"/>
  <c r="G35" i="9"/>
  <c r="J35" i="9"/>
  <c r="K35" i="9"/>
  <c r="B36" i="9"/>
  <c r="C36" i="9"/>
  <c r="D36" i="9"/>
  <c r="E36" i="9"/>
  <c r="F36" i="9"/>
  <c r="G36" i="9"/>
  <c r="K36" i="9"/>
  <c r="B37" i="9"/>
  <c r="C37" i="9"/>
  <c r="G37" i="9" s="1"/>
  <c r="D37" i="9"/>
  <c r="H37" i="9" s="1"/>
  <c r="E37" i="9"/>
  <c r="I37" i="9" s="1"/>
  <c r="F37" i="9"/>
  <c r="J37" i="9"/>
  <c r="L37" i="9" s="1"/>
  <c r="K37" i="9"/>
  <c r="B38" i="9"/>
  <c r="C38" i="9"/>
  <c r="D38" i="9"/>
  <c r="E38" i="9"/>
  <c r="F38" i="9"/>
  <c r="I38" i="9"/>
  <c r="K38" i="9"/>
  <c r="B39" i="9"/>
  <c r="J39" i="9" s="1"/>
  <c r="C39" i="9"/>
  <c r="D39" i="9"/>
  <c r="E39" i="9"/>
  <c r="F39" i="9"/>
  <c r="H39" i="9"/>
  <c r="I39" i="9"/>
  <c r="K39" i="9"/>
  <c r="B40" i="9"/>
  <c r="C40" i="9"/>
  <c r="D40" i="9"/>
  <c r="E40" i="9"/>
  <c r="I40" i="9" s="1"/>
  <c r="F40" i="9"/>
  <c r="J40" i="9" s="1"/>
  <c r="G40" i="9"/>
  <c r="H40" i="9"/>
  <c r="K40" i="9"/>
  <c r="B41" i="9"/>
  <c r="C41" i="9"/>
  <c r="D41" i="9"/>
  <c r="E41" i="9"/>
  <c r="I41" i="9" s="1"/>
  <c r="F41" i="9"/>
  <c r="J41" i="9" s="1"/>
  <c r="K41" i="9"/>
  <c r="B42" i="9"/>
  <c r="C42" i="9"/>
  <c r="D42" i="9"/>
  <c r="E42" i="9"/>
  <c r="F42" i="9"/>
  <c r="J42" i="9" s="1"/>
  <c r="G42" i="9"/>
  <c r="H42" i="9"/>
  <c r="L42" i="9" s="1"/>
  <c r="I42" i="9"/>
  <c r="K42" i="9"/>
  <c r="B43" i="9"/>
  <c r="C43" i="9"/>
  <c r="D43" i="9"/>
  <c r="E43" i="9"/>
  <c r="F43" i="9"/>
  <c r="G43" i="9"/>
  <c r="H43" i="9"/>
  <c r="I43" i="9"/>
  <c r="J43" i="9"/>
  <c r="K43" i="9"/>
  <c r="B44" i="9"/>
  <c r="C44" i="9"/>
  <c r="D44" i="9"/>
  <c r="E44" i="9"/>
  <c r="F44" i="9"/>
  <c r="G44" i="9"/>
  <c r="H44" i="9"/>
  <c r="K44" i="9"/>
  <c r="B45" i="9"/>
  <c r="C45" i="9"/>
  <c r="D45" i="9"/>
  <c r="E45" i="9"/>
  <c r="F45" i="9"/>
  <c r="G45" i="9"/>
  <c r="H45" i="9"/>
  <c r="I45" i="9"/>
  <c r="J45" i="9"/>
  <c r="K45" i="9"/>
  <c r="B46" i="9"/>
  <c r="C46" i="9"/>
  <c r="D46" i="9"/>
  <c r="E46" i="9"/>
  <c r="F46" i="9"/>
  <c r="K46" i="9"/>
  <c r="B47" i="9"/>
  <c r="C47" i="9"/>
  <c r="D47" i="9"/>
  <c r="E47" i="9"/>
  <c r="F47" i="9"/>
  <c r="G47" i="9"/>
  <c r="H47" i="9"/>
  <c r="I47" i="9"/>
  <c r="J47" i="9"/>
  <c r="K47" i="9"/>
  <c r="B48" i="9"/>
  <c r="C48" i="9"/>
  <c r="D48" i="9"/>
  <c r="E48" i="9"/>
  <c r="F48" i="9"/>
  <c r="G48" i="9"/>
  <c r="H48" i="9"/>
  <c r="I48" i="9"/>
  <c r="J48" i="9"/>
  <c r="K48" i="9"/>
  <c r="B49" i="9"/>
  <c r="C49" i="9"/>
  <c r="D49" i="9"/>
  <c r="E49" i="9"/>
  <c r="F49" i="9"/>
  <c r="K49" i="9"/>
  <c r="B50" i="9"/>
  <c r="C50" i="9"/>
  <c r="D50" i="9"/>
  <c r="E50" i="9"/>
  <c r="F50" i="9"/>
  <c r="G50" i="9"/>
  <c r="H50" i="9"/>
  <c r="I50" i="9"/>
  <c r="J50" i="9"/>
  <c r="K50" i="9"/>
  <c r="B51" i="9"/>
  <c r="C51" i="9"/>
  <c r="D51" i="9"/>
  <c r="E51" i="9"/>
  <c r="F51" i="9"/>
  <c r="G51" i="9"/>
  <c r="J51" i="9"/>
  <c r="K51" i="9"/>
  <c r="B52" i="9"/>
  <c r="C52" i="9"/>
  <c r="D52" i="9"/>
  <c r="E52" i="9"/>
  <c r="F52" i="9"/>
  <c r="G52" i="9"/>
  <c r="K52" i="9"/>
  <c r="B53" i="9"/>
  <c r="C53" i="9"/>
  <c r="G53" i="9" s="1"/>
  <c r="D53" i="9"/>
  <c r="H53" i="9" s="1"/>
  <c r="E53" i="9"/>
  <c r="F53" i="9"/>
  <c r="I53" i="9"/>
  <c r="J53" i="9"/>
  <c r="K53" i="9"/>
  <c r="B54" i="9"/>
  <c r="C54" i="9"/>
  <c r="D54" i="9"/>
  <c r="E54" i="9"/>
  <c r="F54" i="9"/>
  <c r="K54" i="9"/>
  <c r="B55" i="9"/>
  <c r="C55" i="9"/>
  <c r="D55" i="9"/>
  <c r="E55" i="9"/>
  <c r="F55" i="9"/>
  <c r="G55" i="9"/>
  <c r="H55" i="9"/>
  <c r="I55" i="9"/>
  <c r="K55" i="9"/>
  <c r="B56" i="9"/>
  <c r="C56" i="9"/>
  <c r="D56" i="9"/>
  <c r="E56" i="9"/>
  <c r="I56" i="9" s="1"/>
  <c r="F56" i="9"/>
  <c r="J56" i="9" s="1"/>
  <c r="G56" i="9"/>
  <c r="H56" i="9"/>
  <c r="K56" i="9"/>
  <c r="B57" i="9"/>
  <c r="G57" i="9" s="1"/>
  <c r="C57" i="9"/>
  <c r="D57" i="9"/>
  <c r="E57" i="9"/>
  <c r="I57" i="9" s="1"/>
  <c r="F57" i="9"/>
  <c r="J57" i="9" s="1"/>
  <c r="K57" i="9"/>
  <c r="B58" i="9"/>
  <c r="C58" i="9"/>
  <c r="D58" i="9"/>
  <c r="H58" i="9" s="1"/>
  <c r="E58" i="9"/>
  <c r="F58" i="9"/>
  <c r="J58" i="9" s="1"/>
  <c r="L58" i="9" s="1"/>
  <c r="G58" i="9"/>
  <c r="I58" i="9"/>
  <c r="K58" i="9"/>
  <c r="B59" i="9"/>
  <c r="C59" i="9"/>
  <c r="D59" i="9"/>
  <c r="E59" i="9"/>
  <c r="F59" i="9"/>
  <c r="G59" i="9"/>
  <c r="H59" i="9"/>
  <c r="I59" i="9"/>
  <c r="J59" i="9"/>
  <c r="K59" i="9"/>
  <c r="B60" i="9"/>
  <c r="C60" i="9"/>
  <c r="D60" i="9"/>
  <c r="E60" i="9"/>
  <c r="F60" i="9"/>
  <c r="G60" i="9"/>
  <c r="H60" i="9"/>
  <c r="K60" i="9"/>
  <c r="B61" i="9"/>
  <c r="C61" i="9"/>
  <c r="D61" i="9"/>
  <c r="E61" i="9"/>
  <c r="F61" i="9"/>
  <c r="J61" i="9" s="1"/>
  <c r="L61" i="9" s="1"/>
  <c r="G61" i="9"/>
  <c r="H61" i="9"/>
  <c r="I61" i="9"/>
  <c r="K61" i="9"/>
  <c r="B62" i="9"/>
  <c r="C62" i="9"/>
  <c r="D62" i="9"/>
  <c r="E62" i="9"/>
  <c r="F62" i="9"/>
  <c r="K62" i="9"/>
  <c r="B63" i="9"/>
  <c r="C63" i="9"/>
  <c r="D63" i="9"/>
  <c r="E63" i="9"/>
  <c r="F63" i="9"/>
  <c r="G63" i="9"/>
  <c r="H63" i="9"/>
  <c r="L63" i="9" s="1"/>
  <c r="I63" i="9"/>
  <c r="J63" i="9"/>
  <c r="K63" i="9"/>
  <c r="B64" i="9"/>
  <c r="C64" i="9"/>
  <c r="D64" i="9"/>
  <c r="E64" i="9"/>
  <c r="I64" i="9" s="1"/>
  <c r="F64" i="9"/>
  <c r="G64" i="9"/>
  <c r="H64" i="9"/>
  <c r="J64" i="9"/>
  <c r="K64" i="9"/>
  <c r="B65" i="9"/>
  <c r="C65" i="9"/>
  <c r="D65" i="9"/>
  <c r="E65" i="9"/>
  <c r="F65" i="9"/>
  <c r="K65" i="9"/>
  <c r="B66" i="9"/>
  <c r="C66" i="9"/>
  <c r="D66" i="9"/>
  <c r="E66" i="9"/>
  <c r="F66" i="9"/>
  <c r="G66" i="9"/>
  <c r="H66" i="9"/>
  <c r="I66" i="9"/>
  <c r="J66" i="9"/>
  <c r="K66" i="9"/>
  <c r="B67" i="9"/>
  <c r="C67" i="9"/>
  <c r="D67" i="9"/>
  <c r="E67" i="9"/>
  <c r="F67" i="9"/>
  <c r="G67" i="9"/>
  <c r="J67" i="9"/>
  <c r="K67" i="9"/>
  <c r="B68" i="9"/>
  <c r="G68" i="9" s="1"/>
  <c r="C68" i="9"/>
  <c r="D68" i="9"/>
  <c r="E68" i="9"/>
  <c r="F68" i="9"/>
  <c r="K68" i="9"/>
  <c r="B69" i="9"/>
  <c r="C69" i="9"/>
  <c r="G69" i="9" s="1"/>
  <c r="D69" i="9"/>
  <c r="H69" i="9" s="1"/>
  <c r="E69" i="9"/>
  <c r="F69" i="9"/>
  <c r="I69" i="9"/>
  <c r="J69" i="9"/>
  <c r="K69" i="9"/>
  <c r="B70" i="9"/>
  <c r="C70" i="9"/>
  <c r="D70" i="9"/>
  <c r="E70" i="9"/>
  <c r="F70" i="9"/>
  <c r="I70" i="9"/>
  <c r="K70" i="9"/>
  <c r="B71" i="9"/>
  <c r="G71" i="9" s="1"/>
  <c r="C71" i="9"/>
  <c r="D71" i="9"/>
  <c r="E71" i="9"/>
  <c r="F71" i="9"/>
  <c r="H71" i="9"/>
  <c r="I71" i="9"/>
  <c r="K71" i="9"/>
  <c r="B72" i="9"/>
  <c r="C72" i="9"/>
  <c r="D72" i="9"/>
  <c r="E72" i="9"/>
  <c r="I72" i="9" s="1"/>
  <c r="F72" i="9"/>
  <c r="J72" i="9" s="1"/>
  <c r="G72" i="9"/>
  <c r="H72" i="9"/>
  <c r="K72" i="9"/>
  <c r="B73" i="9"/>
  <c r="C73" i="9"/>
  <c r="D73" i="9"/>
  <c r="E73" i="9"/>
  <c r="I73" i="9" s="1"/>
  <c r="F73" i="9"/>
  <c r="J73" i="9" s="1"/>
  <c r="K73" i="9"/>
  <c r="B74" i="9"/>
  <c r="C74" i="9"/>
  <c r="D74" i="9"/>
  <c r="E74" i="9"/>
  <c r="F74" i="9"/>
  <c r="G74" i="9"/>
  <c r="L74" i="9" s="1"/>
  <c r="H74" i="9"/>
  <c r="I74" i="9"/>
  <c r="J74" i="9"/>
  <c r="K74" i="9"/>
  <c r="B75" i="9"/>
  <c r="C75" i="9"/>
  <c r="D75" i="9"/>
  <c r="E75" i="9"/>
  <c r="F75" i="9"/>
  <c r="G75" i="9"/>
  <c r="H75" i="9"/>
  <c r="I75" i="9"/>
  <c r="J75" i="9"/>
  <c r="K75" i="9"/>
  <c r="B76" i="9"/>
  <c r="C76" i="9"/>
  <c r="D76" i="9"/>
  <c r="E76" i="9"/>
  <c r="F76" i="9"/>
  <c r="G76" i="9"/>
  <c r="H76" i="9"/>
  <c r="K76" i="9"/>
  <c r="B77" i="9"/>
  <c r="C77" i="9"/>
  <c r="G77" i="9" s="1"/>
  <c r="D77" i="9"/>
  <c r="E77" i="9"/>
  <c r="F77" i="9"/>
  <c r="J77" i="9" s="1"/>
  <c r="H77" i="9"/>
  <c r="I77" i="9"/>
  <c r="K77" i="9"/>
  <c r="B78" i="9"/>
  <c r="C78" i="9"/>
  <c r="D78" i="9"/>
  <c r="E78" i="9"/>
  <c r="F78" i="9"/>
  <c r="K78" i="9"/>
  <c r="B79" i="9"/>
  <c r="C79" i="9"/>
  <c r="D79" i="9"/>
  <c r="E79" i="9"/>
  <c r="F79" i="9"/>
  <c r="G79" i="9"/>
  <c r="H79" i="9"/>
  <c r="I79" i="9"/>
  <c r="J79" i="9"/>
  <c r="K79" i="9"/>
  <c r="B80" i="9"/>
  <c r="C80" i="9"/>
  <c r="D80" i="9"/>
  <c r="E80" i="9"/>
  <c r="F80" i="9"/>
  <c r="G80" i="9"/>
  <c r="H80" i="9"/>
  <c r="I80" i="9"/>
  <c r="J80" i="9"/>
  <c r="L80" i="9" s="1"/>
  <c r="K80" i="9"/>
  <c r="B81" i="9"/>
  <c r="C81" i="9"/>
  <c r="D81" i="9"/>
  <c r="E81" i="9"/>
  <c r="F81" i="9"/>
  <c r="K81" i="9"/>
  <c r="B82" i="9"/>
  <c r="C82" i="9"/>
  <c r="D82" i="9"/>
  <c r="E82" i="9"/>
  <c r="F82" i="9"/>
  <c r="G82" i="9"/>
  <c r="H82" i="9"/>
  <c r="I82" i="9"/>
  <c r="J82" i="9"/>
  <c r="L82" i="9" s="1"/>
  <c r="K82" i="9"/>
  <c r="B83" i="9"/>
  <c r="G83" i="9" s="1"/>
  <c r="C83" i="9"/>
  <c r="D83" i="9"/>
  <c r="E83" i="9"/>
  <c r="F83" i="9"/>
  <c r="K83" i="9"/>
  <c r="B84" i="9"/>
  <c r="C84" i="9"/>
  <c r="D84" i="9"/>
  <c r="E84" i="9"/>
  <c r="F84" i="9"/>
  <c r="G84" i="9"/>
  <c r="K84" i="9"/>
  <c r="B85" i="9"/>
  <c r="C85" i="9"/>
  <c r="G85" i="9" s="1"/>
  <c r="D85" i="9"/>
  <c r="H85" i="9" s="1"/>
  <c r="E85" i="9"/>
  <c r="F85" i="9"/>
  <c r="I85" i="9"/>
  <c r="J85" i="9"/>
  <c r="K85" i="9"/>
  <c r="B86" i="9"/>
  <c r="C86" i="9"/>
  <c r="D86" i="9"/>
  <c r="E86" i="9"/>
  <c r="F86" i="9"/>
  <c r="I86" i="9"/>
  <c r="K86" i="9"/>
  <c r="B87" i="9"/>
  <c r="C87" i="9"/>
  <c r="D87" i="9"/>
  <c r="E87" i="9"/>
  <c r="I87" i="9" s="1"/>
  <c r="F87" i="9"/>
  <c r="G87" i="9"/>
  <c r="H87" i="9"/>
  <c r="K87" i="9"/>
  <c r="B88" i="9"/>
  <c r="C88" i="9"/>
  <c r="D88" i="9"/>
  <c r="E88" i="9"/>
  <c r="I88" i="9" s="1"/>
  <c r="L88" i="9" s="1"/>
  <c r="F88" i="9"/>
  <c r="J88" i="9" s="1"/>
  <c r="G88" i="9"/>
  <c r="H88" i="9"/>
  <c r="K88" i="9"/>
  <c r="B89" i="9"/>
  <c r="C89" i="9"/>
  <c r="D89" i="9"/>
  <c r="E89" i="9"/>
  <c r="I89" i="9" s="1"/>
  <c r="F89" i="9"/>
  <c r="J89" i="9" s="1"/>
  <c r="K89" i="9"/>
  <c r="B90" i="9"/>
  <c r="C90" i="9"/>
  <c r="D90" i="9"/>
  <c r="E90" i="9"/>
  <c r="F90" i="9"/>
  <c r="G90" i="9"/>
  <c r="L90" i="9" s="1"/>
  <c r="H90" i="9"/>
  <c r="I90" i="9"/>
  <c r="J90" i="9"/>
  <c r="K90" i="9"/>
  <c r="B91" i="9"/>
  <c r="C91" i="9"/>
  <c r="D91" i="9"/>
  <c r="E91" i="9"/>
  <c r="F91" i="9"/>
  <c r="G91" i="9"/>
  <c r="H91" i="9"/>
  <c r="I91" i="9"/>
  <c r="J91" i="9"/>
  <c r="K91" i="9"/>
  <c r="B92" i="9"/>
  <c r="C92" i="9"/>
  <c r="G92" i="9" s="1"/>
  <c r="D92" i="9"/>
  <c r="E92" i="9"/>
  <c r="F92" i="9"/>
  <c r="H92" i="9"/>
  <c r="K92" i="9"/>
  <c r="B93" i="9"/>
  <c r="C93" i="9"/>
  <c r="D93" i="9"/>
  <c r="E93" i="9"/>
  <c r="F93" i="9"/>
  <c r="G93" i="9"/>
  <c r="H93" i="9"/>
  <c r="I93" i="9"/>
  <c r="J93" i="9"/>
  <c r="K93" i="9"/>
  <c r="B94" i="9"/>
  <c r="C94" i="9"/>
  <c r="D94" i="9"/>
  <c r="E94" i="9"/>
  <c r="F94" i="9"/>
  <c r="K94" i="9"/>
  <c r="B95" i="9"/>
  <c r="C95" i="9"/>
  <c r="D95" i="9"/>
  <c r="E95" i="9"/>
  <c r="I95" i="9" s="1"/>
  <c r="F95" i="9"/>
  <c r="G95" i="9"/>
  <c r="H95" i="9"/>
  <c r="J95" i="9"/>
  <c r="K95" i="9"/>
  <c r="B96" i="9"/>
  <c r="C96" i="9"/>
  <c r="D96" i="9"/>
  <c r="E96" i="9"/>
  <c r="F96" i="9"/>
  <c r="G96" i="9"/>
  <c r="H96" i="9"/>
  <c r="I96" i="9"/>
  <c r="J96" i="9"/>
  <c r="K96" i="9"/>
  <c r="B97" i="9"/>
  <c r="C97" i="9"/>
  <c r="D97" i="9"/>
  <c r="E97" i="9"/>
  <c r="F97" i="9"/>
  <c r="K97" i="9"/>
  <c r="B98" i="9"/>
  <c r="C98" i="9"/>
  <c r="D98" i="9"/>
  <c r="E98" i="9"/>
  <c r="F98" i="9"/>
  <c r="G98" i="9"/>
  <c r="H98" i="9"/>
  <c r="I98" i="9"/>
  <c r="J98" i="9"/>
  <c r="K98" i="9"/>
  <c r="B99" i="9"/>
  <c r="C99" i="9"/>
  <c r="D99" i="9"/>
  <c r="E99" i="9"/>
  <c r="F99" i="9"/>
  <c r="G99" i="9"/>
  <c r="J99" i="9"/>
  <c r="K99" i="9"/>
  <c r="B100" i="9"/>
  <c r="C100" i="9"/>
  <c r="D100" i="9"/>
  <c r="E100" i="9"/>
  <c r="F100" i="9"/>
  <c r="K100" i="9"/>
  <c r="B101" i="9"/>
  <c r="C101" i="9"/>
  <c r="G101" i="9" s="1"/>
  <c r="L101" i="9" s="1"/>
  <c r="D101" i="9"/>
  <c r="H101" i="9" s="1"/>
  <c r="E101" i="9"/>
  <c r="F101" i="9"/>
  <c r="I101" i="9"/>
  <c r="J101" i="9"/>
  <c r="K101" i="9"/>
  <c r="B102" i="9"/>
  <c r="C102" i="9"/>
  <c r="D102" i="9"/>
  <c r="E102" i="9"/>
  <c r="F102" i="9"/>
  <c r="I102" i="9"/>
  <c r="K102" i="9"/>
  <c r="B103" i="9"/>
  <c r="G103" i="9" s="1"/>
  <c r="C103" i="9"/>
  <c r="D103" i="9"/>
  <c r="E103" i="9"/>
  <c r="F103" i="9"/>
  <c r="H103" i="9"/>
  <c r="I103" i="9"/>
  <c r="K103" i="9"/>
  <c r="B104" i="9"/>
  <c r="C104" i="9"/>
  <c r="D104" i="9"/>
  <c r="E104" i="9"/>
  <c r="I104" i="9" s="1"/>
  <c r="F104" i="9"/>
  <c r="J104" i="9" s="1"/>
  <c r="G104" i="9"/>
  <c r="H104" i="9"/>
  <c r="K104" i="9"/>
  <c r="B105" i="9"/>
  <c r="C105" i="9"/>
  <c r="D105" i="9"/>
  <c r="E105" i="9"/>
  <c r="F105" i="9"/>
  <c r="J105" i="9" s="1"/>
  <c r="K105" i="9"/>
  <c r="B106" i="9"/>
  <c r="C106" i="9"/>
  <c r="D106" i="9"/>
  <c r="E106" i="9"/>
  <c r="F106" i="9"/>
  <c r="G106" i="9"/>
  <c r="H106" i="9"/>
  <c r="I106" i="9"/>
  <c r="J106" i="9"/>
  <c r="K106" i="9"/>
  <c r="B107" i="9"/>
  <c r="C107" i="9"/>
  <c r="D107" i="9"/>
  <c r="E107" i="9"/>
  <c r="F107" i="9"/>
  <c r="G107" i="9"/>
  <c r="L107" i="9" s="1"/>
  <c r="H107" i="9"/>
  <c r="I107" i="9"/>
  <c r="J107" i="9"/>
  <c r="K107" i="9"/>
  <c r="B108" i="9"/>
  <c r="C108" i="9"/>
  <c r="G108" i="9" s="1"/>
  <c r="D108" i="9"/>
  <c r="E108" i="9"/>
  <c r="F108" i="9"/>
  <c r="H108" i="9"/>
  <c r="K108" i="9"/>
  <c r="B109" i="9"/>
  <c r="C109" i="9"/>
  <c r="D109" i="9"/>
  <c r="E109" i="9"/>
  <c r="F109" i="9"/>
  <c r="J109" i="9" s="1"/>
  <c r="G109" i="9"/>
  <c r="H109" i="9"/>
  <c r="I109" i="9"/>
  <c r="K109" i="9"/>
  <c r="B110" i="9"/>
  <c r="C110" i="9"/>
  <c r="D110" i="9"/>
  <c r="E110" i="9"/>
  <c r="F110" i="9"/>
  <c r="K110" i="9"/>
  <c r="B111" i="9"/>
  <c r="C111" i="9"/>
  <c r="D111" i="9"/>
  <c r="E111" i="9"/>
  <c r="F111" i="9"/>
  <c r="G111" i="9"/>
  <c r="H111" i="9"/>
  <c r="I111" i="9"/>
  <c r="J111" i="9"/>
  <c r="K111" i="9"/>
  <c r="B112" i="9"/>
  <c r="C112" i="9"/>
  <c r="D112" i="9"/>
  <c r="E112" i="9"/>
  <c r="F112" i="9"/>
  <c r="G112" i="9"/>
  <c r="H112" i="9"/>
  <c r="I112" i="9"/>
  <c r="J112" i="9"/>
  <c r="K112" i="9"/>
  <c r="B113" i="9"/>
  <c r="C113" i="9"/>
  <c r="D113" i="9"/>
  <c r="E113" i="9"/>
  <c r="F113" i="9"/>
  <c r="K113" i="9"/>
  <c r="B114" i="9"/>
  <c r="C114" i="9"/>
  <c r="D114" i="9"/>
  <c r="E114" i="9"/>
  <c r="F114" i="9"/>
  <c r="G114" i="9"/>
  <c r="H114" i="9"/>
  <c r="I114" i="9"/>
  <c r="L114" i="9" s="1"/>
  <c r="J114" i="9"/>
  <c r="K114" i="9"/>
  <c r="B115" i="9"/>
  <c r="C115" i="9"/>
  <c r="D115" i="9"/>
  <c r="E115" i="9"/>
  <c r="F115" i="9"/>
  <c r="K115" i="9"/>
  <c r="B116" i="9"/>
  <c r="C116" i="9"/>
  <c r="D116" i="9"/>
  <c r="E116" i="9"/>
  <c r="F116" i="9"/>
  <c r="G116" i="9"/>
  <c r="K116" i="9"/>
  <c r="B117" i="9"/>
  <c r="C117" i="9"/>
  <c r="G117" i="9" s="1"/>
  <c r="D117" i="9"/>
  <c r="H117" i="9" s="1"/>
  <c r="E117" i="9"/>
  <c r="F117" i="9"/>
  <c r="I117" i="9"/>
  <c r="J117" i="9"/>
  <c r="K117" i="9"/>
  <c r="B118" i="9"/>
  <c r="I118" i="9" s="1"/>
  <c r="C118" i="9"/>
  <c r="D118" i="9"/>
  <c r="E118" i="9"/>
  <c r="F118" i="9"/>
  <c r="K118" i="9"/>
  <c r="B119" i="9"/>
  <c r="C119" i="9"/>
  <c r="D119" i="9"/>
  <c r="E119" i="9"/>
  <c r="F119" i="9"/>
  <c r="G119" i="9"/>
  <c r="K119" i="9"/>
  <c r="B120" i="9"/>
  <c r="C120" i="9"/>
  <c r="D120" i="9"/>
  <c r="E120" i="9"/>
  <c r="I120" i="9" s="1"/>
  <c r="L120" i="9" s="1"/>
  <c r="F120" i="9"/>
  <c r="J120" i="9" s="1"/>
  <c r="G120" i="9"/>
  <c r="H120" i="9"/>
  <c r="K120" i="9"/>
  <c r="B121" i="9"/>
  <c r="C121" i="9"/>
  <c r="D121" i="9"/>
  <c r="E121" i="9"/>
  <c r="F121" i="9"/>
  <c r="J121" i="9" s="1"/>
  <c r="K121" i="9"/>
  <c r="B122" i="9"/>
  <c r="C122" i="9"/>
  <c r="D122" i="9"/>
  <c r="H122" i="9" s="1"/>
  <c r="E122" i="9"/>
  <c r="I122" i="9" s="1"/>
  <c r="F122" i="9"/>
  <c r="G122" i="9"/>
  <c r="L122" i="9" s="1"/>
  <c r="J122" i="9"/>
  <c r="K122" i="9"/>
  <c r="B123" i="9"/>
  <c r="C123" i="9"/>
  <c r="D123" i="9"/>
  <c r="E123" i="9"/>
  <c r="F123" i="9"/>
  <c r="G123" i="9"/>
  <c r="L123" i="9" s="1"/>
  <c r="H123" i="9"/>
  <c r="I123" i="9"/>
  <c r="J123" i="9"/>
  <c r="K123" i="9"/>
  <c r="B124" i="9"/>
  <c r="C124" i="9"/>
  <c r="D124" i="9"/>
  <c r="E124" i="9"/>
  <c r="F124" i="9"/>
  <c r="G124" i="9"/>
  <c r="H124" i="9"/>
  <c r="K124" i="9"/>
  <c r="B125" i="9"/>
  <c r="C125" i="9"/>
  <c r="D125" i="9"/>
  <c r="E125" i="9"/>
  <c r="F125" i="9"/>
  <c r="G125" i="9"/>
  <c r="H125" i="9"/>
  <c r="L125" i="9" s="1"/>
  <c r="I125" i="9"/>
  <c r="J125" i="9"/>
  <c r="K125" i="9"/>
  <c r="B126" i="9"/>
  <c r="C126" i="9"/>
  <c r="D126" i="9"/>
  <c r="E126" i="9"/>
  <c r="F126" i="9"/>
  <c r="K126" i="9"/>
  <c r="B127" i="9"/>
  <c r="C127" i="9"/>
  <c r="D127" i="9"/>
  <c r="E127" i="9"/>
  <c r="F127" i="9"/>
  <c r="G127" i="9"/>
  <c r="H127" i="9"/>
  <c r="I127" i="9"/>
  <c r="J127" i="9"/>
  <c r="K127" i="9"/>
  <c r="B128" i="9"/>
  <c r="C128" i="9"/>
  <c r="D128" i="9"/>
  <c r="E128" i="9"/>
  <c r="F128" i="9"/>
  <c r="G128" i="9"/>
  <c r="H128" i="9"/>
  <c r="I128" i="9"/>
  <c r="J128" i="9"/>
  <c r="K128" i="9"/>
  <c r="B129" i="9"/>
  <c r="C129" i="9"/>
  <c r="D129" i="9"/>
  <c r="E129" i="9"/>
  <c r="F129" i="9"/>
  <c r="K129" i="9"/>
  <c r="B130" i="9"/>
  <c r="C130" i="9"/>
  <c r="D130" i="9"/>
  <c r="E130" i="9"/>
  <c r="F130" i="9"/>
  <c r="G130" i="9"/>
  <c r="H130" i="9"/>
  <c r="I130" i="9"/>
  <c r="J130" i="9"/>
  <c r="K130" i="9"/>
  <c r="B131" i="9"/>
  <c r="G131" i="9" s="1"/>
  <c r="C131" i="9"/>
  <c r="D131" i="9"/>
  <c r="E131" i="9"/>
  <c r="F131" i="9"/>
  <c r="K131" i="9"/>
  <c r="B132" i="9"/>
  <c r="C132" i="9"/>
  <c r="D132" i="9"/>
  <c r="E132" i="9"/>
  <c r="F132" i="9"/>
  <c r="G132" i="9"/>
  <c r="K132" i="9"/>
  <c r="B133" i="9"/>
  <c r="C133" i="9"/>
  <c r="D133" i="9"/>
  <c r="H133" i="9" s="1"/>
  <c r="E133" i="9"/>
  <c r="F133" i="9"/>
  <c r="G133" i="9"/>
  <c r="I133" i="9"/>
  <c r="J133" i="9"/>
  <c r="K133" i="9"/>
  <c r="B134" i="9"/>
  <c r="C134" i="9"/>
  <c r="D134" i="9"/>
  <c r="E134" i="9"/>
  <c r="F134" i="9"/>
  <c r="I134" i="9"/>
  <c r="K134" i="9"/>
  <c r="B135" i="9"/>
  <c r="H135" i="9" s="1"/>
  <c r="C135" i="9"/>
  <c r="G135" i="9" s="1"/>
  <c r="D135" i="9"/>
  <c r="E135" i="9"/>
  <c r="I135" i="9" s="1"/>
  <c r="F135" i="9"/>
  <c r="K135" i="9"/>
  <c r="B136" i="9"/>
  <c r="C136" i="9"/>
  <c r="D136" i="9"/>
  <c r="E136" i="9"/>
  <c r="F136" i="9"/>
  <c r="J136" i="9" s="1"/>
  <c r="G136" i="9"/>
  <c r="H136" i="9"/>
  <c r="I136" i="9"/>
  <c r="K136" i="9"/>
  <c r="B137" i="9"/>
  <c r="C137" i="9"/>
  <c r="D137" i="9"/>
  <c r="E137" i="9"/>
  <c r="F137" i="9"/>
  <c r="J137" i="9" s="1"/>
  <c r="K137" i="9"/>
  <c r="B138" i="9"/>
  <c r="C138" i="9"/>
  <c r="D138" i="9"/>
  <c r="E138" i="9"/>
  <c r="F138" i="9"/>
  <c r="J138" i="9" s="1"/>
  <c r="G138" i="9"/>
  <c r="H138" i="9"/>
  <c r="I138" i="9"/>
  <c r="K138" i="9"/>
  <c r="B139" i="9"/>
  <c r="C139" i="9"/>
  <c r="D139" i="9"/>
  <c r="E139" i="9"/>
  <c r="F139" i="9"/>
  <c r="G139" i="9"/>
  <c r="H139" i="9"/>
  <c r="I139" i="9"/>
  <c r="J139" i="9"/>
  <c r="K139" i="9"/>
  <c r="B140" i="9"/>
  <c r="C140" i="9"/>
  <c r="D140" i="9"/>
  <c r="E140" i="9"/>
  <c r="F140" i="9"/>
  <c r="G140" i="9"/>
  <c r="H140" i="9"/>
  <c r="K140" i="9"/>
  <c r="B141" i="9"/>
  <c r="C141" i="9"/>
  <c r="D141" i="9"/>
  <c r="E141" i="9"/>
  <c r="F141" i="9"/>
  <c r="G141" i="9"/>
  <c r="L141" i="9" s="1"/>
  <c r="H141" i="9"/>
  <c r="I141" i="9"/>
  <c r="J141" i="9"/>
  <c r="K141" i="9"/>
  <c r="B142" i="9"/>
  <c r="C142" i="9"/>
  <c r="D142" i="9"/>
  <c r="E142" i="9"/>
  <c r="F142" i="9"/>
  <c r="K142" i="9"/>
  <c r="B143" i="9"/>
  <c r="C143" i="9"/>
  <c r="D143" i="9"/>
  <c r="E143" i="9"/>
  <c r="F143" i="9"/>
  <c r="G143" i="9"/>
  <c r="H143" i="9"/>
  <c r="L143" i="9" s="1"/>
  <c r="I143" i="9"/>
  <c r="J143" i="9"/>
  <c r="K143" i="9"/>
  <c r="B144" i="9"/>
  <c r="C144" i="9"/>
  <c r="D144" i="9"/>
  <c r="E144" i="9"/>
  <c r="F144" i="9"/>
  <c r="G144" i="9"/>
  <c r="H144" i="9"/>
  <c r="I144" i="9"/>
  <c r="J144" i="9"/>
  <c r="K144" i="9"/>
  <c r="B145" i="9"/>
  <c r="C145" i="9"/>
  <c r="D145" i="9"/>
  <c r="E145" i="9"/>
  <c r="F145" i="9"/>
  <c r="K145" i="9"/>
  <c r="B146" i="9"/>
  <c r="C146" i="9"/>
  <c r="D146" i="9"/>
  <c r="E146" i="9"/>
  <c r="F146" i="9"/>
  <c r="G146" i="9"/>
  <c r="H146" i="9"/>
  <c r="I146" i="9"/>
  <c r="J146" i="9"/>
  <c r="K146" i="9"/>
  <c r="B147" i="9"/>
  <c r="C147" i="9"/>
  <c r="D147" i="9"/>
  <c r="E147" i="9"/>
  <c r="F147" i="9"/>
  <c r="G147" i="9"/>
  <c r="J147" i="9"/>
  <c r="K147" i="9"/>
  <c r="B148" i="9"/>
  <c r="C148" i="9"/>
  <c r="D148" i="9"/>
  <c r="E148" i="9"/>
  <c r="F148" i="9"/>
  <c r="G148" i="9"/>
  <c r="K148" i="9"/>
  <c r="B149" i="9"/>
  <c r="C149" i="9"/>
  <c r="D149" i="9"/>
  <c r="H149" i="9" s="1"/>
  <c r="E149" i="9"/>
  <c r="F149" i="9"/>
  <c r="G149" i="9"/>
  <c r="I149" i="9"/>
  <c r="J149" i="9"/>
  <c r="L149" i="9" s="1"/>
  <c r="K149" i="9"/>
  <c r="B150" i="9"/>
  <c r="I150" i="9" s="1"/>
  <c r="C150" i="9"/>
  <c r="D150" i="9"/>
  <c r="E150" i="9"/>
  <c r="F150" i="9"/>
  <c r="K150" i="9"/>
  <c r="B151" i="9"/>
  <c r="C151" i="9"/>
  <c r="D151" i="9"/>
  <c r="E151" i="9"/>
  <c r="F151" i="9"/>
  <c r="G151" i="9"/>
  <c r="H151" i="9"/>
  <c r="I151" i="9"/>
  <c r="K151" i="9"/>
  <c r="B152" i="9"/>
  <c r="C152" i="9"/>
  <c r="D152" i="9"/>
  <c r="E152" i="9"/>
  <c r="F152" i="9"/>
  <c r="J152" i="9" s="1"/>
  <c r="G152" i="9"/>
  <c r="H152" i="9"/>
  <c r="I152" i="9"/>
  <c r="K152" i="9"/>
  <c r="B153" i="9"/>
  <c r="G153" i="9" s="1"/>
  <c r="C153" i="9"/>
  <c r="D153" i="9"/>
  <c r="E153" i="9"/>
  <c r="F153" i="9"/>
  <c r="J153" i="9" s="1"/>
  <c r="K153" i="9"/>
  <c r="B154" i="9"/>
  <c r="C154" i="9"/>
  <c r="D154" i="9"/>
  <c r="H154" i="9" s="1"/>
  <c r="E154" i="9"/>
  <c r="I154" i="9" s="1"/>
  <c r="F154" i="9"/>
  <c r="J154" i="9" s="1"/>
  <c r="G154" i="9"/>
  <c r="K154" i="9"/>
  <c r="B155" i="9"/>
  <c r="C155" i="9"/>
  <c r="D155" i="9"/>
  <c r="E155" i="9"/>
  <c r="F155" i="9"/>
  <c r="G155" i="9"/>
  <c r="H155" i="9"/>
  <c r="I155" i="9"/>
  <c r="J155" i="9"/>
  <c r="K155" i="9"/>
  <c r="B156" i="9"/>
  <c r="C156" i="9"/>
  <c r="G156" i="9" s="1"/>
  <c r="D156" i="9"/>
  <c r="E156" i="9"/>
  <c r="F156" i="9"/>
  <c r="H156" i="9"/>
  <c r="K156" i="9"/>
  <c r="B157" i="9"/>
  <c r="C157" i="9"/>
  <c r="G157" i="9" s="1"/>
  <c r="L157" i="9" s="1"/>
  <c r="D157" i="9"/>
  <c r="E157" i="9"/>
  <c r="F157" i="9"/>
  <c r="J157" i="9" s="1"/>
  <c r="H157" i="9"/>
  <c r="I157" i="9"/>
  <c r="K157" i="9"/>
  <c r="B158" i="9"/>
  <c r="C158" i="9"/>
  <c r="D158" i="9"/>
  <c r="E158" i="9"/>
  <c r="F158" i="9"/>
  <c r="K158" i="9"/>
  <c r="B159" i="9"/>
  <c r="C159" i="9"/>
  <c r="D159" i="9"/>
  <c r="E159" i="9"/>
  <c r="F159" i="9"/>
  <c r="G159" i="9"/>
  <c r="H159" i="9"/>
  <c r="I159" i="9"/>
  <c r="J159" i="9"/>
  <c r="K159" i="9"/>
  <c r="B160" i="9"/>
  <c r="C160" i="9"/>
  <c r="D160" i="9"/>
  <c r="E160" i="9"/>
  <c r="F160" i="9"/>
  <c r="G160" i="9"/>
  <c r="H160" i="9"/>
  <c r="I160" i="9"/>
  <c r="J160" i="9"/>
  <c r="K160" i="9"/>
  <c r="B161" i="9"/>
  <c r="C161" i="9"/>
  <c r="D161" i="9"/>
  <c r="E161" i="9"/>
  <c r="F161" i="9"/>
  <c r="K161" i="9"/>
  <c r="B162" i="9"/>
  <c r="C162" i="9"/>
  <c r="D162" i="9"/>
  <c r="E162" i="9"/>
  <c r="F162" i="9"/>
  <c r="G162" i="9"/>
  <c r="H162" i="9"/>
  <c r="I162" i="9"/>
  <c r="J162" i="9"/>
  <c r="K162" i="9"/>
  <c r="B163" i="9"/>
  <c r="C163" i="9"/>
  <c r="D163" i="9"/>
  <c r="E163" i="9"/>
  <c r="F163" i="9"/>
  <c r="G163" i="9"/>
  <c r="J163" i="9"/>
  <c r="K163" i="9"/>
  <c r="B164" i="9"/>
  <c r="C164" i="9"/>
  <c r="D164" i="9"/>
  <c r="E164" i="9"/>
  <c r="F164" i="9"/>
  <c r="G164" i="9"/>
  <c r="K164" i="9"/>
  <c r="B165" i="9"/>
  <c r="C165" i="9"/>
  <c r="D165" i="9"/>
  <c r="H165" i="9" s="1"/>
  <c r="E165" i="9"/>
  <c r="F165" i="9"/>
  <c r="G165" i="9"/>
  <c r="I165" i="9"/>
  <c r="J165" i="9"/>
  <c r="K165" i="9"/>
  <c r="B166" i="9"/>
  <c r="C166" i="9"/>
  <c r="D166" i="9"/>
  <c r="E166" i="9"/>
  <c r="F166" i="9"/>
  <c r="I166" i="9"/>
  <c r="K166" i="9"/>
  <c r="B167" i="9"/>
  <c r="C167" i="9"/>
  <c r="D167" i="9"/>
  <c r="E167" i="9"/>
  <c r="F167" i="9"/>
  <c r="G167" i="9"/>
  <c r="H167" i="9"/>
  <c r="I167" i="9"/>
  <c r="K167" i="9"/>
  <c r="B168" i="9"/>
  <c r="C168" i="9"/>
  <c r="D168" i="9"/>
  <c r="E168" i="9"/>
  <c r="F168" i="9"/>
  <c r="J168" i="9" s="1"/>
  <c r="G168" i="9"/>
  <c r="H168" i="9"/>
  <c r="I168" i="9"/>
  <c r="K168" i="9"/>
  <c r="B169" i="9"/>
  <c r="C169" i="9"/>
  <c r="D169" i="9"/>
  <c r="E169" i="9"/>
  <c r="F169" i="9"/>
  <c r="J169" i="9" s="1"/>
  <c r="K169" i="9"/>
  <c r="B170" i="9"/>
  <c r="C170" i="9"/>
  <c r="D170" i="9"/>
  <c r="E170" i="9"/>
  <c r="F170" i="9"/>
  <c r="G170" i="9"/>
  <c r="H170" i="9"/>
  <c r="I170" i="9"/>
  <c r="J170" i="9"/>
  <c r="K170" i="9"/>
  <c r="B171" i="9"/>
  <c r="C171" i="9"/>
  <c r="D171" i="9"/>
  <c r="E171" i="9"/>
  <c r="F171" i="9"/>
  <c r="G171" i="9"/>
  <c r="H171" i="9"/>
  <c r="I171" i="9"/>
  <c r="J171" i="9"/>
  <c r="K171" i="9"/>
  <c r="B172" i="9"/>
  <c r="C172" i="9"/>
  <c r="D172" i="9"/>
  <c r="E172" i="9"/>
  <c r="F172" i="9"/>
  <c r="G172" i="9"/>
  <c r="H172" i="9"/>
  <c r="K172" i="9"/>
  <c r="B173" i="9"/>
  <c r="C173" i="9"/>
  <c r="G173" i="9" s="1"/>
  <c r="D173" i="9"/>
  <c r="E173" i="9"/>
  <c r="F173" i="9"/>
  <c r="H173" i="9"/>
  <c r="I173" i="9"/>
  <c r="J173" i="9"/>
  <c r="K173" i="9"/>
  <c r="B174" i="9"/>
  <c r="C174" i="9"/>
  <c r="D174" i="9"/>
  <c r="E174" i="9"/>
  <c r="F174" i="9"/>
  <c r="K174" i="9"/>
  <c r="B175" i="9"/>
  <c r="C175" i="9"/>
  <c r="G175" i="9" s="1"/>
  <c r="L175" i="9" s="1"/>
  <c r="D175" i="9"/>
  <c r="E175" i="9"/>
  <c r="F175" i="9"/>
  <c r="H175" i="9"/>
  <c r="I175" i="9"/>
  <c r="J175" i="9"/>
  <c r="K175" i="9"/>
  <c r="B176" i="9"/>
  <c r="C176" i="9"/>
  <c r="D176" i="9"/>
  <c r="E176" i="9"/>
  <c r="I176" i="9" s="1"/>
  <c r="F176" i="9"/>
  <c r="G176" i="9"/>
  <c r="H176" i="9"/>
  <c r="J176" i="9"/>
  <c r="K176" i="9"/>
  <c r="B177" i="9"/>
  <c r="C177" i="9"/>
  <c r="D177" i="9"/>
  <c r="E177" i="9"/>
  <c r="F177" i="9"/>
  <c r="K177" i="9"/>
  <c r="B178" i="9"/>
  <c r="C178" i="9"/>
  <c r="D178" i="9"/>
  <c r="E178" i="9"/>
  <c r="F178" i="9"/>
  <c r="G178" i="9"/>
  <c r="H178" i="9"/>
  <c r="I178" i="9"/>
  <c r="J178" i="9"/>
  <c r="K178" i="9"/>
  <c r="B179" i="9"/>
  <c r="C179" i="9"/>
  <c r="D179" i="9"/>
  <c r="E179" i="9"/>
  <c r="F179" i="9"/>
  <c r="G179" i="9"/>
  <c r="J179" i="9"/>
  <c r="K179" i="9"/>
  <c r="B180" i="9"/>
  <c r="C180" i="9"/>
  <c r="D180" i="9"/>
  <c r="E180" i="9"/>
  <c r="F180" i="9"/>
  <c r="K180" i="9"/>
  <c r="B181" i="9"/>
  <c r="C181" i="9"/>
  <c r="D181" i="9"/>
  <c r="E181" i="9"/>
  <c r="F181" i="9"/>
  <c r="G181" i="9"/>
  <c r="H181" i="9"/>
  <c r="I181" i="9"/>
  <c r="J181" i="9"/>
  <c r="K181" i="9"/>
  <c r="B182" i="9"/>
  <c r="C182" i="9"/>
  <c r="D182" i="9"/>
  <c r="E182" i="9"/>
  <c r="F182" i="9"/>
  <c r="I182" i="9"/>
  <c r="K182" i="9"/>
  <c r="B183" i="9"/>
  <c r="J183" i="9" s="1"/>
  <c r="C183" i="9"/>
  <c r="D183" i="9"/>
  <c r="E183" i="9"/>
  <c r="F183" i="9"/>
  <c r="G183" i="9"/>
  <c r="H183" i="9"/>
  <c r="I183" i="9"/>
  <c r="K183" i="9"/>
  <c r="B184" i="9"/>
  <c r="C184" i="9"/>
  <c r="D184" i="9"/>
  <c r="E184" i="9"/>
  <c r="F184" i="9"/>
  <c r="G184" i="9"/>
  <c r="H184" i="9"/>
  <c r="I184" i="9"/>
  <c r="J184" i="9"/>
  <c r="K184" i="9"/>
  <c r="B185" i="9"/>
  <c r="C185" i="9"/>
  <c r="D185" i="9"/>
  <c r="E185" i="9"/>
  <c r="F185" i="9"/>
  <c r="K185" i="9"/>
  <c r="B186" i="9"/>
  <c r="C186" i="9"/>
  <c r="D186" i="9"/>
  <c r="E186" i="9"/>
  <c r="F186" i="9"/>
  <c r="J186" i="9" s="1"/>
  <c r="G186" i="9"/>
  <c r="H186" i="9"/>
  <c r="I186" i="9"/>
  <c r="K186" i="9"/>
  <c r="B187" i="9"/>
  <c r="C187" i="9"/>
  <c r="D187" i="9"/>
  <c r="E187" i="9"/>
  <c r="F187" i="9"/>
  <c r="G187" i="9"/>
  <c r="H187" i="9"/>
  <c r="I187" i="9"/>
  <c r="J187" i="9"/>
  <c r="K187" i="9"/>
  <c r="B188" i="9"/>
  <c r="I188" i="9" s="1"/>
  <c r="C188" i="9"/>
  <c r="D188" i="9"/>
  <c r="E188" i="9"/>
  <c r="F188" i="9"/>
  <c r="G188" i="9"/>
  <c r="H188" i="9"/>
  <c r="K188" i="9"/>
  <c r="B189" i="9"/>
  <c r="C189" i="9"/>
  <c r="G189" i="9" s="1"/>
  <c r="L189" i="9" s="1"/>
  <c r="D189" i="9"/>
  <c r="E189" i="9"/>
  <c r="F189" i="9"/>
  <c r="H189" i="9"/>
  <c r="I189" i="9"/>
  <c r="J189" i="9"/>
  <c r="K189" i="9"/>
  <c r="B190" i="9"/>
  <c r="C190" i="9"/>
  <c r="D190" i="9"/>
  <c r="E190" i="9"/>
  <c r="F190" i="9"/>
  <c r="K190" i="9"/>
  <c r="B191" i="9"/>
  <c r="C191" i="9"/>
  <c r="G191" i="9" s="1"/>
  <c r="L191" i="9" s="1"/>
  <c r="D191" i="9"/>
  <c r="E191" i="9"/>
  <c r="I191" i="9" s="1"/>
  <c r="F191" i="9"/>
  <c r="H191" i="9"/>
  <c r="J191" i="9"/>
  <c r="K191" i="9"/>
  <c r="B192" i="9"/>
  <c r="C192" i="9"/>
  <c r="D192" i="9"/>
  <c r="E192" i="9"/>
  <c r="F192" i="9"/>
  <c r="G192" i="9"/>
  <c r="H192" i="9"/>
  <c r="I192" i="9"/>
  <c r="J192" i="9"/>
  <c r="L192" i="9" s="1"/>
  <c r="K192" i="9"/>
  <c r="B193" i="9"/>
  <c r="C193" i="9"/>
  <c r="D193" i="9"/>
  <c r="E193" i="9"/>
  <c r="F193" i="9"/>
  <c r="K193" i="9"/>
  <c r="B194" i="9"/>
  <c r="C194" i="9"/>
  <c r="D194" i="9"/>
  <c r="E194" i="9"/>
  <c r="F194" i="9"/>
  <c r="G194" i="9"/>
  <c r="H194" i="9"/>
  <c r="I194" i="9"/>
  <c r="J194" i="9"/>
  <c r="K194" i="9"/>
  <c r="B195" i="9"/>
  <c r="C195" i="9"/>
  <c r="D195" i="9"/>
  <c r="E195" i="9"/>
  <c r="F195" i="9"/>
  <c r="K195" i="9"/>
  <c r="B196" i="9"/>
  <c r="C196" i="9"/>
  <c r="D196" i="9"/>
  <c r="E196" i="9"/>
  <c r="F196" i="9"/>
  <c r="G196" i="9"/>
  <c r="K196" i="9"/>
  <c r="B197" i="9"/>
  <c r="C197" i="9"/>
  <c r="D197" i="9"/>
  <c r="E197" i="9"/>
  <c r="F197" i="9"/>
  <c r="G197" i="9"/>
  <c r="H197" i="9"/>
  <c r="I197" i="9"/>
  <c r="J197" i="9"/>
  <c r="K197" i="9"/>
  <c r="B198" i="9"/>
  <c r="C198" i="9"/>
  <c r="D198" i="9"/>
  <c r="E198" i="9"/>
  <c r="F198" i="9"/>
  <c r="I198" i="9"/>
  <c r="K198" i="9"/>
  <c r="B199" i="9"/>
  <c r="J199" i="9" s="1"/>
  <c r="C199" i="9"/>
  <c r="D199" i="9"/>
  <c r="E199" i="9"/>
  <c r="F199" i="9"/>
  <c r="K199" i="9"/>
  <c r="B200" i="9"/>
  <c r="C200" i="9"/>
  <c r="D200" i="9"/>
  <c r="E200" i="9"/>
  <c r="F200" i="9"/>
  <c r="G200" i="9"/>
  <c r="H200" i="9"/>
  <c r="I200" i="9"/>
  <c r="J200" i="9"/>
  <c r="K200" i="9"/>
  <c r="B201" i="9"/>
  <c r="C201" i="9"/>
  <c r="D201" i="9"/>
  <c r="E201" i="9"/>
  <c r="F201" i="9"/>
  <c r="K201" i="9"/>
  <c r="B202" i="9"/>
  <c r="C202" i="9"/>
  <c r="D202" i="9"/>
  <c r="E202" i="9"/>
  <c r="F202" i="9"/>
  <c r="J202" i="9" s="1"/>
  <c r="G202" i="9"/>
  <c r="H202" i="9"/>
  <c r="I202" i="9"/>
  <c r="K202" i="9"/>
  <c r="B203" i="9"/>
  <c r="C203" i="9"/>
  <c r="D203" i="9"/>
  <c r="E203" i="9"/>
  <c r="F203" i="9"/>
  <c r="G203" i="9"/>
  <c r="H203" i="9"/>
  <c r="I203" i="9"/>
  <c r="J203" i="9"/>
  <c r="K203" i="9"/>
  <c r="B204" i="9"/>
  <c r="C204" i="9"/>
  <c r="D204" i="9"/>
  <c r="E204" i="9"/>
  <c r="F204" i="9"/>
  <c r="G204" i="9"/>
  <c r="H204" i="9"/>
  <c r="K204" i="9"/>
  <c r="B205" i="9"/>
  <c r="C205" i="9"/>
  <c r="D205" i="9"/>
  <c r="E205" i="9"/>
  <c r="F205" i="9"/>
  <c r="G205" i="9"/>
  <c r="H205" i="9"/>
  <c r="I205" i="9"/>
  <c r="J205" i="9"/>
  <c r="K205" i="9"/>
  <c r="B206" i="9"/>
  <c r="C206" i="9"/>
  <c r="D206" i="9"/>
  <c r="E206" i="9"/>
  <c r="F206" i="9"/>
  <c r="K206" i="9"/>
  <c r="B207" i="9"/>
  <c r="C207" i="9"/>
  <c r="D207" i="9"/>
  <c r="E207" i="9"/>
  <c r="F207" i="9"/>
  <c r="G207" i="9"/>
  <c r="H207" i="9"/>
  <c r="I207" i="9"/>
  <c r="J207" i="9"/>
  <c r="K207" i="9"/>
  <c r="B208" i="9"/>
  <c r="C208" i="9"/>
  <c r="D208" i="9"/>
  <c r="E208" i="9"/>
  <c r="F208" i="9"/>
  <c r="G208" i="9"/>
  <c r="L208" i="9" s="1"/>
  <c r="H208" i="9"/>
  <c r="I208" i="9"/>
  <c r="J208" i="9"/>
  <c r="K208" i="9"/>
  <c r="B209" i="9"/>
  <c r="C209" i="9"/>
  <c r="D209" i="9"/>
  <c r="E209" i="9"/>
  <c r="F209" i="9"/>
  <c r="K209" i="9"/>
  <c r="B210" i="9"/>
  <c r="C210" i="9"/>
  <c r="D210" i="9"/>
  <c r="E210" i="9"/>
  <c r="I210" i="9" s="1"/>
  <c r="L210" i="9" s="1"/>
  <c r="F210" i="9"/>
  <c r="J210" i="9" s="1"/>
  <c r="G210" i="9"/>
  <c r="H210" i="9"/>
  <c r="K210" i="9"/>
  <c r="B211" i="9"/>
  <c r="C211" i="9"/>
  <c r="D211" i="9"/>
  <c r="E211" i="9"/>
  <c r="F211" i="9"/>
  <c r="G211" i="9"/>
  <c r="J211" i="9"/>
  <c r="K211" i="9"/>
  <c r="B212" i="9"/>
  <c r="C212" i="9"/>
  <c r="D212" i="9"/>
  <c r="E212" i="9"/>
  <c r="F212" i="9"/>
  <c r="G212" i="9"/>
  <c r="K212" i="9"/>
  <c r="B213" i="9"/>
  <c r="C213" i="9"/>
  <c r="D213" i="9"/>
  <c r="E213" i="9"/>
  <c r="F213" i="9"/>
  <c r="G213" i="9"/>
  <c r="H213" i="9"/>
  <c r="I213" i="9"/>
  <c r="J213" i="9"/>
  <c r="K213" i="9"/>
  <c r="B214" i="9"/>
  <c r="I214" i="9" s="1"/>
  <c r="C214" i="9"/>
  <c r="D214" i="9"/>
  <c r="E214" i="9"/>
  <c r="F214" i="9"/>
  <c r="K214" i="9"/>
  <c r="B215" i="9"/>
  <c r="C215" i="9"/>
  <c r="D215" i="9"/>
  <c r="E215" i="9"/>
  <c r="F215" i="9"/>
  <c r="G215" i="9"/>
  <c r="H215" i="9"/>
  <c r="I215" i="9"/>
  <c r="K215" i="9"/>
  <c r="B216" i="9"/>
  <c r="C216" i="9"/>
  <c r="D216" i="9"/>
  <c r="E216" i="9"/>
  <c r="F216" i="9"/>
  <c r="G216" i="9"/>
  <c r="L216" i="9" s="1"/>
  <c r="H216" i="9"/>
  <c r="I216" i="9"/>
  <c r="J216" i="9"/>
  <c r="K216" i="9"/>
  <c r="B217" i="9"/>
  <c r="C217" i="9"/>
  <c r="D217" i="9"/>
  <c r="E217" i="9"/>
  <c r="F217" i="9"/>
  <c r="K217" i="9"/>
  <c r="B218" i="9"/>
  <c r="C218" i="9"/>
  <c r="D218" i="9"/>
  <c r="H218" i="9" s="1"/>
  <c r="L218" i="9" s="1"/>
  <c r="E218" i="9"/>
  <c r="F218" i="9"/>
  <c r="G218" i="9"/>
  <c r="I218" i="9"/>
  <c r="J218" i="9"/>
  <c r="K218" i="9"/>
  <c r="B219" i="9"/>
  <c r="C219" i="9"/>
  <c r="D219" i="9"/>
  <c r="E219" i="9"/>
  <c r="F219" i="9"/>
  <c r="G219" i="9"/>
  <c r="H219" i="9"/>
  <c r="I219" i="9"/>
  <c r="J219" i="9"/>
  <c r="K219" i="9"/>
  <c r="B220" i="9"/>
  <c r="C220" i="9"/>
  <c r="D220" i="9"/>
  <c r="E220" i="9"/>
  <c r="F220" i="9"/>
  <c r="G220" i="9"/>
  <c r="H220" i="9"/>
  <c r="K220" i="9"/>
  <c r="B221" i="9"/>
  <c r="C221" i="9"/>
  <c r="G221" i="9" s="1"/>
  <c r="D221" i="9"/>
  <c r="E221" i="9"/>
  <c r="F221" i="9"/>
  <c r="J221" i="9" s="1"/>
  <c r="H221" i="9"/>
  <c r="I221" i="9"/>
  <c r="L221" i="9" s="1"/>
  <c r="K221" i="9"/>
  <c r="B222" i="9"/>
  <c r="C222" i="9"/>
  <c r="D222" i="9"/>
  <c r="E222" i="9"/>
  <c r="F222" i="9"/>
  <c r="K222" i="9"/>
  <c r="B223" i="9"/>
  <c r="C223" i="9"/>
  <c r="D223" i="9"/>
  <c r="E223" i="9"/>
  <c r="F223" i="9"/>
  <c r="G223" i="9"/>
  <c r="H223" i="9"/>
  <c r="I223" i="9"/>
  <c r="J223" i="9"/>
  <c r="K223" i="9"/>
  <c r="B224" i="9"/>
  <c r="C224" i="9"/>
  <c r="D224" i="9"/>
  <c r="E224" i="9"/>
  <c r="F224" i="9"/>
  <c r="G224" i="9"/>
  <c r="L224" i="9" s="1"/>
  <c r="H224" i="9"/>
  <c r="I224" i="9"/>
  <c r="J224" i="9"/>
  <c r="K224" i="9"/>
  <c r="B225" i="9"/>
  <c r="C225" i="9"/>
  <c r="D225" i="9"/>
  <c r="E225" i="9"/>
  <c r="F225" i="9"/>
  <c r="K225" i="9"/>
  <c r="B226" i="9"/>
  <c r="C226" i="9"/>
  <c r="D226" i="9"/>
  <c r="E226" i="9"/>
  <c r="F226" i="9"/>
  <c r="G226" i="9"/>
  <c r="H226" i="9"/>
  <c r="I226" i="9"/>
  <c r="J226" i="9"/>
  <c r="K226" i="9"/>
  <c r="B227" i="9"/>
  <c r="C227" i="9"/>
  <c r="D227" i="9"/>
  <c r="E227" i="9"/>
  <c r="F227" i="9"/>
  <c r="G227" i="9"/>
  <c r="J227" i="9"/>
  <c r="K227" i="9"/>
  <c r="B228" i="9"/>
  <c r="C228" i="9"/>
  <c r="D228" i="9"/>
  <c r="E228" i="9"/>
  <c r="F228" i="9"/>
  <c r="G228" i="9"/>
  <c r="K228" i="9"/>
  <c r="B229" i="9"/>
  <c r="C229" i="9"/>
  <c r="D229" i="9"/>
  <c r="E229" i="9"/>
  <c r="F229" i="9"/>
  <c r="G229" i="9"/>
  <c r="H229" i="9"/>
  <c r="I229" i="9"/>
  <c r="J229" i="9"/>
  <c r="K229" i="9"/>
  <c r="B230" i="9"/>
  <c r="C230" i="9"/>
  <c r="D230" i="9"/>
  <c r="E230" i="9"/>
  <c r="F230" i="9"/>
  <c r="I230" i="9"/>
  <c r="K230" i="9"/>
  <c r="B231" i="9"/>
  <c r="C231" i="9"/>
  <c r="D231" i="9"/>
  <c r="H231" i="9" s="1"/>
  <c r="E231" i="9"/>
  <c r="I231" i="9" s="1"/>
  <c r="F231" i="9"/>
  <c r="G231" i="9"/>
  <c r="K231" i="9"/>
  <c r="B232" i="9"/>
  <c r="C232" i="9"/>
  <c r="D232" i="9"/>
  <c r="E232" i="9"/>
  <c r="F232" i="9"/>
  <c r="G232" i="9"/>
  <c r="H232" i="9"/>
  <c r="I232" i="9"/>
  <c r="J232" i="9"/>
  <c r="K232" i="9"/>
  <c r="B233" i="9"/>
  <c r="C233" i="9"/>
  <c r="D233" i="9"/>
  <c r="E233" i="9"/>
  <c r="F233" i="9"/>
  <c r="K233" i="9"/>
  <c r="B234" i="9"/>
  <c r="C234" i="9"/>
  <c r="D234" i="9"/>
  <c r="H234" i="9" s="1"/>
  <c r="E234" i="9"/>
  <c r="F234" i="9"/>
  <c r="G234" i="9"/>
  <c r="I234" i="9"/>
  <c r="J234" i="9"/>
  <c r="K234" i="9"/>
  <c r="B235" i="9"/>
  <c r="C235" i="9"/>
  <c r="D235" i="9"/>
  <c r="E235" i="9"/>
  <c r="F235" i="9"/>
  <c r="G235" i="9"/>
  <c r="H235" i="9"/>
  <c r="I235" i="9"/>
  <c r="J235" i="9"/>
  <c r="L235" i="9" s="1"/>
  <c r="K235" i="9"/>
  <c r="B236" i="9"/>
  <c r="C236" i="9"/>
  <c r="D236" i="9"/>
  <c r="E236" i="9"/>
  <c r="F236" i="9"/>
  <c r="K236" i="9"/>
  <c r="B237" i="9"/>
  <c r="C237" i="9"/>
  <c r="D237" i="9"/>
  <c r="E237" i="9"/>
  <c r="F237" i="9"/>
  <c r="G237" i="9"/>
  <c r="H237" i="9"/>
  <c r="I237" i="9"/>
  <c r="J237" i="9"/>
  <c r="K237" i="9"/>
  <c r="B238" i="9"/>
  <c r="C238" i="9"/>
  <c r="D238" i="9"/>
  <c r="E238" i="9"/>
  <c r="F238" i="9"/>
  <c r="K238" i="9"/>
  <c r="B239" i="9"/>
  <c r="C239" i="9"/>
  <c r="D239" i="9"/>
  <c r="E239" i="9"/>
  <c r="F239" i="9"/>
  <c r="G239" i="9"/>
  <c r="H239" i="9"/>
  <c r="I239" i="9"/>
  <c r="J239" i="9"/>
  <c r="L239" i="9" s="1"/>
  <c r="K239" i="9"/>
  <c r="B240" i="9"/>
  <c r="C240" i="9"/>
  <c r="D240" i="9"/>
  <c r="E240" i="9"/>
  <c r="I240" i="9" s="1"/>
  <c r="F240" i="9"/>
  <c r="G240" i="9"/>
  <c r="H240" i="9"/>
  <c r="J240" i="9"/>
  <c r="K240" i="9"/>
  <c r="B241" i="9"/>
  <c r="C241" i="9"/>
  <c r="D241" i="9"/>
  <c r="E241" i="9"/>
  <c r="F241" i="9"/>
  <c r="K241" i="9"/>
  <c r="B242" i="9"/>
  <c r="C242" i="9"/>
  <c r="D242" i="9"/>
  <c r="E242" i="9"/>
  <c r="I242" i="9" s="1"/>
  <c r="F242" i="9"/>
  <c r="J242" i="9" s="1"/>
  <c r="G242" i="9"/>
  <c r="H242" i="9"/>
  <c r="K242" i="9"/>
  <c r="B243" i="9"/>
  <c r="C243" i="9"/>
  <c r="D243" i="9"/>
  <c r="E243" i="9"/>
  <c r="F243" i="9"/>
  <c r="G243" i="9"/>
  <c r="K243" i="9"/>
  <c r="B244" i="9"/>
  <c r="G244" i="9" s="1"/>
  <c r="C244" i="9"/>
  <c r="D244" i="9"/>
  <c r="E244" i="9"/>
  <c r="F244" i="9"/>
  <c r="K244" i="9"/>
  <c r="B245" i="9"/>
  <c r="C245" i="9"/>
  <c r="D245" i="9"/>
  <c r="E245" i="9"/>
  <c r="F245" i="9"/>
  <c r="G245" i="9"/>
  <c r="H245" i="9"/>
  <c r="I245" i="9"/>
  <c r="J245" i="9"/>
  <c r="K245" i="9"/>
  <c r="B246" i="9"/>
  <c r="I246" i="9" s="1"/>
  <c r="C246" i="9"/>
  <c r="D246" i="9"/>
  <c r="E246" i="9"/>
  <c r="F246" i="9"/>
  <c r="K246" i="9"/>
  <c r="B247" i="9"/>
  <c r="C247" i="9"/>
  <c r="D247" i="9"/>
  <c r="E247" i="9"/>
  <c r="F247" i="9"/>
  <c r="G247" i="9"/>
  <c r="K247" i="9"/>
  <c r="B248" i="9"/>
  <c r="C248" i="9"/>
  <c r="D248" i="9"/>
  <c r="E248" i="9"/>
  <c r="F248" i="9"/>
  <c r="G248" i="9"/>
  <c r="H248" i="9"/>
  <c r="I248" i="9"/>
  <c r="J248" i="9"/>
  <c r="K248" i="9"/>
  <c r="B249" i="9"/>
  <c r="C249" i="9"/>
  <c r="D249" i="9"/>
  <c r="E249" i="9"/>
  <c r="F249" i="9"/>
  <c r="K249" i="9"/>
  <c r="B250" i="9"/>
  <c r="C250" i="9"/>
  <c r="D250" i="9"/>
  <c r="E250" i="9"/>
  <c r="F250" i="9"/>
  <c r="G250" i="9"/>
  <c r="H250" i="9"/>
  <c r="I250" i="9"/>
  <c r="L250" i="9" s="1"/>
  <c r="J250" i="9"/>
  <c r="K250" i="9"/>
  <c r="B251" i="9"/>
  <c r="C251" i="9"/>
  <c r="D251" i="9"/>
  <c r="E251" i="9"/>
  <c r="F251" i="9"/>
  <c r="G251" i="9"/>
  <c r="H251" i="9"/>
  <c r="I251" i="9"/>
  <c r="J251" i="9"/>
  <c r="K251" i="9"/>
  <c r="B252" i="9"/>
  <c r="C252" i="9"/>
  <c r="D252" i="9"/>
  <c r="E252" i="9"/>
  <c r="F252" i="9"/>
  <c r="G252" i="9"/>
  <c r="H252" i="9"/>
  <c r="K252" i="9"/>
  <c r="B253" i="9"/>
  <c r="C253" i="9"/>
  <c r="D253" i="9"/>
  <c r="E253" i="9"/>
  <c r="F253" i="9"/>
  <c r="J253" i="9" s="1"/>
  <c r="G253" i="9"/>
  <c r="H253" i="9"/>
  <c r="I253" i="9"/>
  <c r="K253" i="9"/>
  <c r="B254" i="9"/>
  <c r="C254" i="9"/>
  <c r="D254" i="9"/>
  <c r="E254" i="9"/>
  <c r="F254" i="9"/>
  <c r="K254" i="9"/>
  <c r="B255" i="9"/>
  <c r="G255" i="9" s="1"/>
  <c r="C255" i="9"/>
  <c r="D255" i="9"/>
  <c r="E255" i="9"/>
  <c r="F255" i="9"/>
  <c r="K255" i="9"/>
  <c r="B256" i="9"/>
  <c r="C256" i="9"/>
  <c r="D256" i="9"/>
  <c r="E256" i="9"/>
  <c r="F256" i="9"/>
  <c r="G256" i="9"/>
  <c r="H256" i="9"/>
  <c r="I256" i="9"/>
  <c r="L256" i="9" s="1"/>
  <c r="J256" i="9"/>
  <c r="K256" i="9"/>
  <c r="B257" i="9"/>
  <c r="C257" i="9"/>
  <c r="D257" i="9"/>
  <c r="E257" i="9"/>
  <c r="F257" i="9"/>
  <c r="K257" i="9"/>
  <c r="B258" i="9"/>
  <c r="C258" i="9"/>
  <c r="D258" i="9"/>
  <c r="E258" i="9"/>
  <c r="I258" i="9" s="1"/>
  <c r="F258" i="9"/>
  <c r="J258" i="9" s="1"/>
  <c r="G258" i="9"/>
  <c r="H258" i="9"/>
  <c r="K258" i="9"/>
  <c r="B259" i="9"/>
  <c r="C259" i="9"/>
  <c r="D259" i="9"/>
  <c r="E259" i="9"/>
  <c r="F259" i="9"/>
  <c r="G259" i="9"/>
  <c r="J259" i="9"/>
  <c r="K259" i="9"/>
  <c r="B260" i="9"/>
  <c r="C260" i="9"/>
  <c r="D260" i="9"/>
  <c r="E260" i="9"/>
  <c r="F260" i="9"/>
  <c r="G260" i="9"/>
  <c r="K260" i="9"/>
  <c r="B261" i="9"/>
  <c r="C261" i="9"/>
  <c r="D261" i="9"/>
  <c r="E261" i="9"/>
  <c r="F261" i="9"/>
  <c r="G261" i="9"/>
  <c r="H261" i="9"/>
  <c r="I261" i="9"/>
  <c r="L261" i="9" s="1"/>
  <c r="J261" i="9"/>
  <c r="K261" i="9"/>
  <c r="B262" i="9"/>
  <c r="C262" i="9"/>
  <c r="D262" i="9"/>
  <c r="E262" i="9"/>
  <c r="F262" i="9"/>
  <c r="K262" i="9"/>
  <c r="B263" i="9"/>
  <c r="J263" i="9" s="1"/>
  <c r="C263" i="9"/>
  <c r="D263" i="9"/>
  <c r="E263" i="9"/>
  <c r="F263" i="9"/>
  <c r="G263" i="9"/>
  <c r="H263" i="9"/>
  <c r="I263" i="9"/>
  <c r="K263" i="9"/>
  <c r="B264" i="9"/>
  <c r="C264" i="9"/>
  <c r="D264" i="9"/>
  <c r="E264" i="9"/>
  <c r="F264" i="9"/>
  <c r="G264" i="9"/>
  <c r="H264" i="9"/>
  <c r="I264" i="9"/>
  <c r="J264" i="9"/>
  <c r="K264" i="9"/>
  <c r="B265" i="9"/>
  <c r="C265" i="9"/>
  <c r="D265" i="9"/>
  <c r="E265" i="9"/>
  <c r="F265" i="9"/>
  <c r="K265" i="9"/>
  <c r="B266" i="9"/>
  <c r="C266" i="9"/>
  <c r="D266" i="9"/>
  <c r="H266" i="9" s="1"/>
  <c r="L266" i="9" s="1"/>
  <c r="E266" i="9"/>
  <c r="I266" i="9" s="1"/>
  <c r="F266" i="9"/>
  <c r="G266" i="9"/>
  <c r="J266" i="9"/>
  <c r="K266" i="9"/>
  <c r="B267" i="9"/>
  <c r="C267" i="9"/>
  <c r="D267" i="9"/>
  <c r="E267" i="9"/>
  <c r="F267" i="9"/>
  <c r="G267" i="9"/>
  <c r="H267" i="9"/>
  <c r="I267" i="9"/>
  <c r="J267" i="9"/>
  <c r="K267" i="9"/>
  <c r="B268" i="9"/>
  <c r="C268" i="9"/>
  <c r="D268" i="9"/>
  <c r="E268" i="9"/>
  <c r="F268" i="9"/>
  <c r="G268" i="9"/>
  <c r="H268" i="9"/>
  <c r="K268" i="9"/>
  <c r="B269" i="9"/>
  <c r="J269" i="9" s="1"/>
  <c r="C269" i="9"/>
  <c r="D269" i="9"/>
  <c r="E269" i="9"/>
  <c r="F269" i="9"/>
  <c r="G269" i="9"/>
  <c r="H269" i="9"/>
  <c r="I269" i="9"/>
  <c r="K269" i="9"/>
  <c r="B270" i="9"/>
  <c r="C270" i="9"/>
  <c r="D270" i="9"/>
  <c r="E270" i="9"/>
  <c r="F270" i="9"/>
  <c r="K270" i="9"/>
  <c r="B271" i="9"/>
  <c r="C271" i="9"/>
  <c r="D271" i="9"/>
  <c r="E271" i="9"/>
  <c r="F271" i="9"/>
  <c r="G271" i="9"/>
  <c r="H271" i="9"/>
  <c r="I271" i="9"/>
  <c r="J271" i="9"/>
  <c r="K271" i="9"/>
  <c r="B272" i="9"/>
  <c r="C272" i="9"/>
  <c r="D272" i="9"/>
  <c r="H272" i="9" s="1"/>
  <c r="E272" i="9"/>
  <c r="F272" i="9"/>
  <c r="G272" i="9"/>
  <c r="I272" i="9"/>
  <c r="J272" i="9"/>
  <c r="L272" i="9" s="1"/>
  <c r="K272" i="9"/>
  <c r="B273" i="9"/>
  <c r="C273" i="9"/>
  <c r="D273" i="9"/>
  <c r="E273" i="9"/>
  <c r="F273" i="9"/>
  <c r="K273" i="9"/>
  <c r="B274" i="9"/>
  <c r="C274" i="9"/>
  <c r="G274" i="9" s="1"/>
  <c r="L274" i="9" s="1"/>
  <c r="D274" i="9"/>
  <c r="E274" i="9"/>
  <c r="F274" i="9"/>
  <c r="H274" i="9"/>
  <c r="I274" i="9"/>
  <c r="J274" i="9"/>
  <c r="K274" i="9"/>
  <c r="B275" i="9"/>
  <c r="C275" i="9"/>
  <c r="D275" i="9"/>
  <c r="E275" i="9"/>
  <c r="F275" i="9"/>
  <c r="G275" i="9"/>
  <c r="J275" i="9"/>
  <c r="K275" i="9"/>
  <c r="B276" i="9"/>
  <c r="C276" i="9"/>
  <c r="D276" i="9"/>
  <c r="E276" i="9"/>
  <c r="F276" i="9"/>
  <c r="G276" i="9"/>
  <c r="K276" i="9"/>
  <c r="B277" i="9"/>
  <c r="C277" i="9"/>
  <c r="D277" i="9"/>
  <c r="E277" i="9"/>
  <c r="I277" i="9" s="1"/>
  <c r="F277" i="9"/>
  <c r="J277" i="9" s="1"/>
  <c r="G277" i="9"/>
  <c r="H277" i="9"/>
  <c r="K277" i="9"/>
  <c r="B278" i="9"/>
  <c r="C278" i="9"/>
  <c r="D278" i="9"/>
  <c r="E278" i="9"/>
  <c r="F278" i="9"/>
  <c r="H278" i="9"/>
  <c r="I278" i="9"/>
  <c r="K278" i="9"/>
  <c r="B279" i="9"/>
  <c r="C279" i="9"/>
  <c r="D279" i="9"/>
  <c r="E279" i="9"/>
  <c r="F279" i="9"/>
  <c r="G279" i="9"/>
  <c r="H279" i="9"/>
  <c r="I279" i="9"/>
  <c r="K279" i="9"/>
  <c r="B280" i="9"/>
  <c r="C280" i="9"/>
  <c r="D280" i="9"/>
  <c r="E280" i="9"/>
  <c r="F280" i="9"/>
  <c r="G280" i="9"/>
  <c r="H280" i="9"/>
  <c r="I280" i="9"/>
  <c r="J280" i="9"/>
  <c r="K280" i="9"/>
  <c r="B281" i="9"/>
  <c r="J281" i="9" s="1"/>
  <c r="C281" i="9"/>
  <c r="D281" i="9"/>
  <c r="E281" i="9"/>
  <c r="F281" i="9"/>
  <c r="K281" i="9"/>
  <c r="B282" i="9"/>
  <c r="C282" i="9"/>
  <c r="D282" i="9"/>
  <c r="E282" i="9"/>
  <c r="F282" i="9"/>
  <c r="G282" i="9"/>
  <c r="H282" i="9"/>
  <c r="I282" i="9"/>
  <c r="J282" i="9"/>
  <c r="K282" i="9"/>
  <c r="B283" i="9"/>
  <c r="C283" i="9"/>
  <c r="D283" i="9"/>
  <c r="E283" i="9"/>
  <c r="F283" i="9"/>
  <c r="G283" i="9"/>
  <c r="L283" i="9" s="1"/>
  <c r="H283" i="9"/>
  <c r="I283" i="9"/>
  <c r="J283" i="9"/>
  <c r="K283" i="9"/>
  <c r="B284" i="9"/>
  <c r="C284" i="9"/>
  <c r="D284" i="9"/>
  <c r="E284" i="9"/>
  <c r="F284" i="9"/>
  <c r="K284" i="9"/>
  <c r="B285" i="9"/>
  <c r="C285" i="9"/>
  <c r="D285" i="9"/>
  <c r="E285" i="9"/>
  <c r="F285" i="9"/>
  <c r="G285" i="9"/>
  <c r="H285" i="9"/>
  <c r="L285" i="9" s="1"/>
  <c r="I285" i="9"/>
  <c r="J285" i="9"/>
  <c r="K285" i="9"/>
  <c r="B286" i="9"/>
  <c r="C286" i="9"/>
  <c r="D286" i="9"/>
  <c r="E286" i="9"/>
  <c r="F286" i="9"/>
  <c r="K286" i="9"/>
  <c r="B287" i="9"/>
  <c r="C287" i="9"/>
  <c r="D287" i="9"/>
  <c r="E287" i="9"/>
  <c r="F287" i="9"/>
  <c r="G287" i="9"/>
  <c r="L287" i="9" s="1"/>
  <c r="H287" i="9"/>
  <c r="I287" i="9"/>
  <c r="J287" i="9"/>
  <c r="K287" i="9"/>
  <c r="B288" i="9"/>
  <c r="C288" i="9"/>
  <c r="D288" i="9"/>
  <c r="H288" i="9" s="1"/>
  <c r="E288" i="9"/>
  <c r="F288" i="9"/>
  <c r="G288" i="9"/>
  <c r="I288" i="9"/>
  <c r="J288" i="9"/>
  <c r="K288" i="9"/>
  <c r="B289" i="9"/>
  <c r="C289" i="9"/>
  <c r="D289" i="9"/>
  <c r="E289" i="9"/>
  <c r="F289" i="9"/>
  <c r="K289" i="9"/>
  <c r="B290" i="9"/>
  <c r="C290" i="9"/>
  <c r="D290" i="9"/>
  <c r="E290" i="9"/>
  <c r="F290" i="9"/>
  <c r="G290" i="9"/>
  <c r="H290" i="9"/>
  <c r="I290" i="9"/>
  <c r="J290" i="9"/>
  <c r="K290" i="9"/>
  <c r="B291" i="9"/>
  <c r="C291" i="9"/>
  <c r="D291" i="9"/>
  <c r="E291" i="9"/>
  <c r="F291" i="9"/>
  <c r="G291" i="9"/>
  <c r="J291" i="9"/>
  <c r="K291" i="9"/>
  <c r="B292" i="9"/>
  <c r="C292" i="9"/>
  <c r="D292" i="9"/>
  <c r="E292" i="9"/>
  <c r="F292" i="9"/>
  <c r="K292" i="9"/>
  <c r="B293" i="9"/>
  <c r="C293" i="9"/>
  <c r="D293" i="9"/>
  <c r="E293" i="9"/>
  <c r="F293" i="9"/>
  <c r="G293" i="9"/>
  <c r="H293" i="9"/>
  <c r="I293" i="9"/>
  <c r="J293" i="9"/>
  <c r="K293" i="9"/>
  <c r="B294" i="9"/>
  <c r="C294" i="9"/>
  <c r="D294" i="9"/>
  <c r="E294" i="9"/>
  <c r="F294" i="9"/>
  <c r="H294" i="9"/>
  <c r="I294" i="9"/>
  <c r="K294" i="9"/>
  <c r="B295" i="9"/>
  <c r="C295" i="9"/>
  <c r="D295" i="9"/>
  <c r="E295" i="9"/>
  <c r="F295" i="9"/>
  <c r="G295" i="9"/>
  <c r="H295" i="9"/>
  <c r="I295" i="9"/>
  <c r="K295" i="9"/>
  <c r="B296" i="9"/>
  <c r="C296" i="9"/>
  <c r="D296" i="9"/>
  <c r="E296" i="9"/>
  <c r="F296" i="9"/>
  <c r="G296" i="9"/>
  <c r="H296" i="9"/>
  <c r="I296" i="9"/>
  <c r="J296" i="9"/>
  <c r="K296" i="9"/>
  <c r="B297" i="9"/>
  <c r="C297" i="9"/>
  <c r="D297" i="9"/>
  <c r="E297" i="9"/>
  <c r="F297" i="9"/>
  <c r="J297" i="9" s="1"/>
  <c r="K297" i="9"/>
  <c r="B298" i="9"/>
  <c r="C298" i="9"/>
  <c r="D298" i="9"/>
  <c r="E298" i="9"/>
  <c r="F298" i="9"/>
  <c r="G298" i="9"/>
  <c r="H298" i="9"/>
  <c r="I298" i="9"/>
  <c r="L298" i="9" s="1"/>
  <c r="J298" i="9"/>
  <c r="K298" i="9"/>
  <c r="B299" i="9"/>
  <c r="C299" i="9"/>
  <c r="D299" i="9"/>
  <c r="E299" i="9"/>
  <c r="F299" i="9"/>
  <c r="G299" i="9"/>
  <c r="H299" i="9"/>
  <c r="I299" i="9"/>
  <c r="J299" i="9"/>
  <c r="K299" i="9"/>
  <c r="B300" i="9"/>
  <c r="C300" i="9"/>
  <c r="D300" i="9"/>
  <c r="E300" i="9"/>
  <c r="F300" i="9"/>
  <c r="G300" i="9"/>
  <c r="H300" i="9"/>
  <c r="K300" i="9"/>
  <c r="B301" i="9"/>
  <c r="C301" i="9"/>
  <c r="D301" i="9"/>
  <c r="E301" i="9"/>
  <c r="F301" i="9"/>
  <c r="G301" i="9"/>
  <c r="H301" i="9"/>
  <c r="I301" i="9"/>
  <c r="J301" i="9"/>
  <c r="K301" i="9"/>
  <c r="B302" i="9"/>
  <c r="C302" i="9"/>
  <c r="D302" i="9"/>
  <c r="E302" i="9"/>
  <c r="F302" i="9"/>
  <c r="K302" i="9"/>
  <c r="B303" i="9"/>
  <c r="G303" i="9" s="1"/>
  <c r="C303" i="9"/>
  <c r="D303" i="9"/>
  <c r="E303" i="9"/>
  <c r="F303" i="9"/>
  <c r="K303" i="9"/>
  <c r="B304" i="9"/>
  <c r="C304" i="9"/>
  <c r="D304" i="9"/>
  <c r="E304" i="9"/>
  <c r="F304" i="9"/>
  <c r="G304" i="9"/>
  <c r="L304" i="9" s="1"/>
  <c r="H304" i="9"/>
  <c r="I304" i="9"/>
  <c r="J304" i="9"/>
  <c r="K304" i="9"/>
  <c r="B305" i="9"/>
  <c r="C305" i="9"/>
  <c r="D305" i="9"/>
  <c r="E305" i="9"/>
  <c r="F305" i="9"/>
  <c r="K305" i="9"/>
  <c r="B306" i="9"/>
  <c r="C306" i="9"/>
  <c r="D306" i="9"/>
  <c r="E306" i="9"/>
  <c r="F306" i="9"/>
  <c r="J306" i="9" s="1"/>
  <c r="G306" i="9"/>
  <c r="H306" i="9"/>
  <c r="I306" i="9"/>
  <c r="K306" i="9"/>
  <c r="B307" i="9"/>
  <c r="G307" i="9" s="1"/>
  <c r="C307" i="9"/>
  <c r="D307" i="9"/>
  <c r="E307" i="9"/>
  <c r="F307" i="9"/>
  <c r="K307" i="9"/>
  <c r="B308" i="9"/>
  <c r="C308" i="9"/>
  <c r="D308" i="9"/>
  <c r="E308" i="9"/>
  <c r="F308" i="9"/>
  <c r="G308" i="9"/>
  <c r="K308" i="9"/>
  <c r="B309" i="9"/>
  <c r="C309" i="9"/>
  <c r="D309" i="9"/>
  <c r="E309" i="9"/>
  <c r="F309" i="9"/>
  <c r="G309" i="9"/>
  <c r="H309" i="9"/>
  <c r="I309" i="9"/>
  <c r="J309" i="9"/>
  <c r="K309" i="9"/>
  <c r="B310" i="9"/>
  <c r="C310" i="9"/>
  <c r="D310" i="9"/>
  <c r="E310" i="9"/>
  <c r="F310" i="9"/>
  <c r="K310" i="9"/>
  <c r="B311" i="9"/>
  <c r="J311" i="9" s="1"/>
  <c r="C311" i="9"/>
  <c r="D311" i="9"/>
  <c r="E311" i="9"/>
  <c r="F311" i="9"/>
  <c r="G311" i="9"/>
  <c r="H311" i="9"/>
  <c r="I311" i="9"/>
  <c r="K311" i="9"/>
  <c r="B312" i="9"/>
  <c r="C312" i="9"/>
  <c r="D312" i="9"/>
  <c r="E312" i="9"/>
  <c r="F312" i="9"/>
  <c r="G312" i="9"/>
  <c r="H312" i="9"/>
  <c r="I312" i="9"/>
  <c r="J312" i="9"/>
  <c r="K312" i="9"/>
  <c r="B313" i="9"/>
  <c r="C313" i="9"/>
  <c r="D313" i="9"/>
  <c r="E313" i="9"/>
  <c r="F313" i="9"/>
  <c r="J313" i="9"/>
  <c r="K313" i="9"/>
  <c r="B314" i="9"/>
  <c r="C314" i="9"/>
  <c r="G314" i="9" s="1"/>
  <c r="D314" i="9"/>
  <c r="H314" i="9" s="1"/>
  <c r="E314" i="9"/>
  <c r="F314" i="9"/>
  <c r="J314" i="9" s="1"/>
  <c r="I314" i="9"/>
  <c r="K314" i="9"/>
  <c r="B315" i="9"/>
  <c r="C315" i="9"/>
  <c r="D315" i="9"/>
  <c r="E315" i="9"/>
  <c r="F315" i="9"/>
  <c r="G315" i="9"/>
  <c r="L315" i="9" s="1"/>
  <c r="H315" i="9"/>
  <c r="I315" i="9"/>
  <c r="J315" i="9"/>
  <c r="K315" i="9"/>
  <c r="B316" i="9"/>
  <c r="C316" i="9"/>
  <c r="D316" i="9"/>
  <c r="E316" i="9"/>
  <c r="F316" i="9"/>
  <c r="G316" i="9"/>
  <c r="H316" i="9"/>
  <c r="K316" i="9"/>
  <c r="B317" i="9"/>
  <c r="I317" i="9" s="1"/>
  <c r="C317" i="9"/>
  <c r="D317" i="9"/>
  <c r="E317" i="9"/>
  <c r="F317" i="9"/>
  <c r="G317" i="9"/>
  <c r="H317" i="9"/>
  <c r="K317" i="9"/>
  <c r="B318" i="9"/>
  <c r="C318" i="9"/>
  <c r="D318" i="9"/>
  <c r="E318" i="9"/>
  <c r="F318" i="9"/>
  <c r="K318" i="9"/>
  <c r="B319" i="9"/>
  <c r="C319" i="9"/>
  <c r="D319" i="9"/>
  <c r="E319" i="9"/>
  <c r="F319" i="9"/>
  <c r="G319" i="9"/>
  <c r="L319" i="9" s="1"/>
  <c r="H319" i="9"/>
  <c r="I319" i="9"/>
  <c r="J319" i="9"/>
  <c r="K319" i="9"/>
  <c r="B320" i="9"/>
  <c r="C320" i="9"/>
  <c r="D320" i="9"/>
  <c r="E320" i="9"/>
  <c r="F320" i="9"/>
  <c r="G320" i="9"/>
  <c r="H320" i="9"/>
  <c r="I320" i="9"/>
  <c r="J320" i="9"/>
  <c r="K320" i="9"/>
  <c r="B321" i="9"/>
  <c r="C321" i="9"/>
  <c r="D321" i="9"/>
  <c r="E321" i="9"/>
  <c r="F321" i="9"/>
  <c r="K321" i="9"/>
  <c r="B322" i="9"/>
  <c r="C322" i="9"/>
  <c r="G322" i="9" s="1"/>
  <c r="D322" i="9"/>
  <c r="E322" i="9"/>
  <c r="F322" i="9"/>
  <c r="H322" i="9"/>
  <c r="I322" i="9"/>
  <c r="J322" i="9"/>
  <c r="K322" i="9"/>
  <c r="B323" i="9"/>
  <c r="H323" i="9" s="1"/>
  <c r="C323" i="9"/>
  <c r="D323" i="9"/>
  <c r="E323" i="9"/>
  <c r="F323" i="9"/>
  <c r="G323" i="9"/>
  <c r="I323" i="9"/>
  <c r="J323" i="9"/>
  <c r="K323" i="9"/>
  <c r="B324" i="9"/>
  <c r="C324" i="9"/>
  <c r="D324" i="9"/>
  <c r="E324" i="9"/>
  <c r="F324" i="9"/>
  <c r="G324" i="9"/>
  <c r="K324" i="9"/>
  <c r="B325" i="9"/>
  <c r="C325" i="9"/>
  <c r="D325" i="9"/>
  <c r="E325" i="9"/>
  <c r="F325" i="9"/>
  <c r="J325" i="9" s="1"/>
  <c r="G325" i="9"/>
  <c r="H325" i="9"/>
  <c r="I325" i="9"/>
  <c r="L325" i="9" s="1"/>
  <c r="K325" i="9"/>
  <c r="B326" i="9"/>
  <c r="C326" i="9"/>
  <c r="D326" i="9"/>
  <c r="E326" i="9"/>
  <c r="F326" i="9"/>
  <c r="H326" i="9"/>
  <c r="I326" i="9"/>
  <c r="K326" i="9"/>
  <c r="B327" i="9"/>
  <c r="C327" i="9"/>
  <c r="D327" i="9"/>
  <c r="E327" i="9"/>
  <c r="F327" i="9"/>
  <c r="G327" i="9"/>
  <c r="H327" i="9"/>
  <c r="I327" i="9"/>
  <c r="K327" i="9"/>
  <c r="B328" i="9"/>
  <c r="C328" i="9"/>
  <c r="D328" i="9"/>
  <c r="E328" i="9"/>
  <c r="F328" i="9"/>
  <c r="G328" i="9"/>
  <c r="H328" i="9"/>
  <c r="I328" i="9"/>
  <c r="J328" i="9"/>
  <c r="K328" i="9"/>
  <c r="B329" i="9"/>
  <c r="J329" i="9" s="1"/>
  <c r="C329" i="9"/>
  <c r="D329" i="9"/>
  <c r="E329" i="9"/>
  <c r="F329" i="9"/>
  <c r="K329" i="9"/>
  <c r="B330" i="9"/>
  <c r="C330" i="9"/>
  <c r="D330" i="9"/>
  <c r="E330" i="9"/>
  <c r="F330" i="9"/>
  <c r="G330" i="9"/>
  <c r="H330" i="9"/>
  <c r="I330" i="9"/>
  <c r="J330" i="9"/>
  <c r="L330" i="9" s="1"/>
  <c r="K330" i="9"/>
  <c r="B331" i="9"/>
  <c r="C331" i="9"/>
  <c r="D331" i="9"/>
  <c r="E331" i="9"/>
  <c r="F331" i="9"/>
  <c r="G331" i="9"/>
  <c r="H331" i="9"/>
  <c r="I331" i="9"/>
  <c r="J331" i="9"/>
  <c r="K331" i="9"/>
  <c r="B332" i="9"/>
  <c r="C332" i="9"/>
  <c r="D332" i="9"/>
  <c r="E332" i="9"/>
  <c r="F332" i="9"/>
  <c r="K332" i="9"/>
  <c r="B333" i="9"/>
  <c r="C333" i="9"/>
  <c r="D333" i="9"/>
  <c r="E333" i="9"/>
  <c r="F333" i="9"/>
  <c r="G333" i="9"/>
  <c r="H333" i="9"/>
  <c r="I333" i="9"/>
  <c r="J333" i="9"/>
  <c r="K333" i="9"/>
  <c r="B334" i="9"/>
  <c r="C334" i="9"/>
  <c r="D334" i="9"/>
  <c r="E334" i="9"/>
  <c r="F334" i="9"/>
  <c r="K334" i="9"/>
  <c r="K10" i="9"/>
  <c r="H10" i="9"/>
  <c r="I10" i="9"/>
  <c r="J10" i="9"/>
  <c r="G10" i="9"/>
  <c r="E10" i="9"/>
  <c r="F10" i="9"/>
  <c r="D10" i="9"/>
  <c r="C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45" i="9"/>
  <c r="M46" i="9"/>
  <c r="M47" i="9"/>
  <c r="M48" i="9"/>
  <c r="M49" i="9"/>
  <c r="M50" i="9"/>
  <c r="M51" i="9"/>
  <c r="M52" i="9"/>
  <c r="M53" i="9"/>
  <c r="M54" i="9"/>
  <c r="M55" i="9"/>
  <c r="M56" i="9"/>
  <c r="M57" i="9"/>
  <c r="M58" i="9"/>
  <c r="M59" i="9"/>
  <c r="M60" i="9"/>
  <c r="M61" i="9"/>
  <c r="M62" i="9"/>
  <c r="M63" i="9"/>
  <c r="M64" i="9"/>
  <c r="M65" i="9"/>
  <c r="M66" i="9"/>
  <c r="M67" i="9"/>
  <c r="M68" i="9"/>
  <c r="M69" i="9"/>
  <c r="M70" i="9"/>
  <c r="M71" i="9"/>
  <c r="M72" i="9"/>
  <c r="M73" i="9"/>
  <c r="M74" i="9"/>
  <c r="M75" i="9"/>
  <c r="M76" i="9"/>
  <c r="M77" i="9"/>
  <c r="M78" i="9"/>
  <c r="M79" i="9"/>
  <c r="M80" i="9"/>
  <c r="M81" i="9"/>
  <c r="M82" i="9"/>
  <c r="M83" i="9"/>
  <c r="M84" i="9"/>
  <c r="M85" i="9"/>
  <c r="M86" i="9"/>
  <c r="M87" i="9"/>
  <c r="M88" i="9"/>
  <c r="M89" i="9"/>
  <c r="M90" i="9"/>
  <c r="M91" i="9"/>
  <c r="M92" i="9"/>
  <c r="M93" i="9"/>
  <c r="M94" i="9"/>
  <c r="M95" i="9"/>
  <c r="M96" i="9"/>
  <c r="M97" i="9"/>
  <c r="M98" i="9"/>
  <c r="M99" i="9"/>
  <c r="M100" i="9"/>
  <c r="M101" i="9"/>
  <c r="M102" i="9"/>
  <c r="M103" i="9"/>
  <c r="M104" i="9"/>
  <c r="M105" i="9"/>
  <c r="M106" i="9"/>
  <c r="M107" i="9"/>
  <c r="M108" i="9"/>
  <c r="M109" i="9"/>
  <c r="M110" i="9"/>
  <c r="M111" i="9"/>
  <c r="M112" i="9"/>
  <c r="M113" i="9"/>
  <c r="M114" i="9"/>
  <c r="M115" i="9"/>
  <c r="M116" i="9"/>
  <c r="M117" i="9"/>
  <c r="M118" i="9"/>
  <c r="M119" i="9"/>
  <c r="M120" i="9"/>
  <c r="M121" i="9"/>
  <c r="M122" i="9"/>
  <c r="M123" i="9"/>
  <c r="M124" i="9"/>
  <c r="M125" i="9"/>
  <c r="M126" i="9"/>
  <c r="M127" i="9"/>
  <c r="M128" i="9"/>
  <c r="M129" i="9"/>
  <c r="M130" i="9"/>
  <c r="M131" i="9"/>
  <c r="M132" i="9"/>
  <c r="M133" i="9"/>
  <c r="M134" i="9"/>
  <c r="M135" i="9"/>
  <c r="M136" i="9"/>
  <c r="M137" i="9"/>
  <c r="M138" i="9"/>
  <c r="M139" i="9"/>
  <c r="M140" i="9"/>
  <c r="M141" i="9"/>
  <c r="M142" i="9"/>
  <c r="M143" i="9"/>
  <c r="M144" i="9"/>
  <c r="M145" i="9"/>
  <c r="M146" i="9"/>
  <c r="M147" i="9"/>
  <c r="M148" i="9"/>
  <c r="M149" i="9"/>
  <c r="M150" i="9"/>
  <c r="M151" i="9"/>
  <c r="M152" i="9"/>
  <c r="M153" i="9"/>
  <c r="M154" i="9"/>
  <c r="M155" i="9"/>
  <c r="M156" i="9"/>
  <c r="M157" i="9"/>
  <c r="M158" i="9"/>
  <c r="M159" i="9"/>
  <c r="M160" i="9"/>
  <c r="M161" i="9"/>
  <c r="M162" i="9"/>
  <c r="M163" i="9"/>
  <c r="M164" i="9"/>
  <c r="M165" i="9"/>
  <c r="M166" i="9"/>
  <c r="M167" i="9"/>
  <c r="M168" i="9"/>
  <c r="M169" i="9"/>
  <c r="M170" i="9"/>
  <c r="M171" i="9"/>
  <c r="M172" i="9"/>
  <c r="M173" i="9"/>
  <c r="M174" i="9"/>
  <c r="M175" i="9"/>
  <c r="M176" i="9"/>
  <c r="M177" i="9"/>
  <c r="M178" i="9"/>
  <c r="M179" i="9"/>
  <c r="M180" i="9"/>
  <c r="M181" i="9"/>
  <c r="M182" i="9"/>
  <c r="M183" i="9"/>
  <c r="M184" i="9"/>
  <c r="M185" i="9"/>
  <c r="M186" i="9"/>
  <c r="M187" i="9"/>
  <c r="M188" i="9"/>
  <c r="M189" i="9"/>
  <c r="M190" i="9"/>
  <c r="M191" i="9"/>
  <c r="M192" i="9"/>
  <c r="M193" i="9"/>
  <c r="M194" i="9"/>
  <c r="M195" i="9"/>
  <c r="M196" i="9"/>
  <c r="M197" i="9"/>
  <c r="M198" i="9"/>
  <c r="M199" i="9"/>
  <c r="M200" i="9"/>
  <c r="M201" i="9"/>
  <c r="M202" i="9"/>
  <c r="M203" i="9"/>
  <c r="M204" i="9"/>
  <c r="M205" i="9"/>
  <c r="M206" i="9"/>
  <c r="M207" i="9"/>
  <c r="M208" i="9"/>
  <c r="M209" i="9"/>
  <c r="M210" i="9"/>
  <c r="M211" i="9"/>
  <c r="M212" i="9"/>
  <c r="M213" i="9"/>
  <c r="M214" i="9"/>
  <c r="M215" i="9"/>
  <c r="M216" i="9"/>
  <c r="M217" i="9"/>
  <c r="M218" i="9"/>
  <c r="M219" i="9"/>
  <c r="M220" i="9"/>
  <c r="M221" i="9"/>
  <c r="M222" i="9"/>
  <c r="M223" i="9"/>
  <c r="M224" i="9"/>
  <c r="M225" i="9"/>
  <c r="M226" i="9"/>
  <c r="M227" i="9"/>
  <c r="M228" i="9"/>
  <c r="M229" i="9"/>
  <c r="M230" i="9"/>
  <c r="M231" i="9"/>
  <c r="M232" i="9"/>
  <c r="M233" i="9"/>
  <c r="M234" i="9"/>
  <c r="M235" i="9"/>
  <c r="M236" i="9"/>
  <c r="M237" i="9"/>
  <c r="M238" i="9"/>
  <c r="M239" i="9"/>
  <c r="M240" i="9"/>
  <c r="M241" i="9"/>
  <c r="M242" i="9"/>
  <c r="M243" i="9"/>
  <c r="M244" i="9"/>
  <c r="M245" i="9"/>
  <c r="M246" i="9"/>
  <c r="M247" i="9"/>
  <c r="M248" i="9"/>
  <c r="M249" i="9"/>
  <c r="M250" i="9"/>
  <c r="M251" i="9"/>
  <c r="M252" i="9"/>
  <c r="M253" i="9"/>
  <c r="M254" i="9"/>
  <c r="M255" i="9"/>
  <c r="M256" i="9"/>
  <c r="M257" i="9"/>
  <c r="M258" i="9"/>
  <c r="M259" i="9"/>
  <c r="M260" i="9"/>
  <c r="M261" i="9"/>
  <c r="M262" i="9"/>
  <c r="M263" i="9"/>
  <c r="M264" i="9"/>
  <c r="M265" i="9"/>
  <c r="M266" i="9"/>
  <c r="M267" i="9"/>
  <c r="M268" i="9"/>
  <c r="M269" i="9"/>
  <c r="M270" i="9"/>
  <c r="M271" i="9"/>
  <c r="M272" i="9"/>
  <c r="M273" i="9"/>
  <c r="M274" i="9"/>
  <c r="M275" i="9"/>
  <c r="M276" i="9"/>
  <c r="M277" i="9"/>
  <c r="M278" i="9"/>
  <c r="M279" i="9"/>
  <c r="M280" i="9"/>
  <c r="M281" i="9"/>
  <c r="M282" i="9"/>
  <c r="M283" i="9"/>
  <c r="M284" i="9"/>
  <c r="M285" i="9"/>
  <c r="M286" i="9"/>
  <c r="M287" i="9"/>
  <c r="M288" i="9"/>
  <c r="M289" i="9"/>
  <c r="M290" i="9"/>
  <c r="M291" i="9"/>
  <c r="M292" i="9"/>
  <c r="M293" i="9"/>
  <c r="M294" i="9"/>
  <c r="M295" i="9"/>
  <c r="M296" i="9"/>
  <c r="M297" i="9"/>
  <c r="M298" i="9"/>
  <c r="M299" i="9"/>
  <c r="M300" i="9"/>
  <c r="M301" i="9"/>
  <c r="M302" i="9"/>
  <c r="M303" i="9"/>
  <c r="M304" i="9"/>
  <c r="M305" i="9"/>
  <c r="M306" i="9"/>
  <c r="M307" i="9"/>
  <c r="M308" i="9"/>
  <c r="M309" i="9"/>
  <c r="M310" i="9"/>
  <c r="M311" i="9"/>
  <c r="M312" i="9"/>
  <c r="M313" i="9"/>
  <c r="M314" i="9"/>
  <c r="M315" i="9"/>
  <c r="M316" i="9"/>
  <c r="M317" i="9"/>
  <c r="M318" i="9"/>
  <c r="M319" i="9"/>
  <c r="M320" i="9"/>
  <c r="M321" i="9"/>
  <c r="M322" i="9"/>
  <c r="M323" i="9"/>
  <c r="M324" i="9"/>
  <c r="M325" i="9"/>
  <c r="M326" i="9"/>
  <c r="M327" i="9"/>
  <c r="M328" i="9"/>
  <c r="M329" i="9"/>
  <c r="M330" i="9"/>
  <c r="M331" i="9"/>
  <c r="M332" i="9"/>
  <c r="M333" i="9"/>
  <c r="M334" i="9"/>
  <c r="M10" i="9"/>
  <c r="B10" i="9"/>
  <c r="J321" i="10" l="1"/>
  <c r="J188" i="10"/>
  <c r="J127" i="10"/>
  <c r="J125" i="10"/>
  <c r="J120" i="10"/>
  <c r="J78" i="10"/>
  <c r="J75" i="10"/>
  <c r="J60" i="10"/>
  <c r="J190" i="10"/>
  <c r="J56" i="10"/>
  <c r="J285" i="10"/>
  <c r="J282" i="10"/>
  <c r="J189" i="10"/>
  <c r="J277" i="10"/>
  <c r="J222" i="10"/>
  <c r="J221" i="10"/>
  <c r="J66" i="10"/>
  <c r="J322" i="10"/>
  <c r="J196" i="10"/>
  <c r="J57" i="10"/>
  <c r="J284" i="10"/>
  <c r="J319" i="10"/>
  <c r="J216" i="10"/>
  <c r="J110" i="10"/>
  <c r="J314" i="10"/>
  <c r="J215" i="10"/>
  <c r="J109" i="10"/>
  <c r="J313" i="10"/>
  <c r="J214" i="10"/>
  <c r="J89" i="10"/>
  <c r="J312" i="10"/>
  <c r="J211" i="10"/>
  <c r="J88" i="10"/>
  <c r="J311" i="10"/>
  <c r="J206" i="10"/>
  <c r="J86" i="10"/>
  <c r="J310" i="10"/>
  <c r="J205" i="10"/>
  <c r="J84" i="10"/>
  <c r="J286" i="10"/>
  <c r="J203" i="10"/>
  <c r="J83" i="10"/>
  <c r="J276" i="10"/>
  <c r="J52" i="10"/>
  <c r="J53" i="10"/>
  <c r="J158" i="10"/>
  <c r="J270" i="10"/>
  <c r="J157" i="10"/>
  <c r="J51" i="10"/>
  <c r="J264" i="10"/>
  <c r="J156" i="10"/>
  <c r="J46" i="10"/>
  <c r="J260" i="10"/>
  <c r="J154" i="10"/>
  <c r="J34" i="10"/>
  <c r="J259" i="10"/>
  <c r="J153" i="10"/>
  <c r="J33" i="10"/>
  <c r="J258" i="10"/>
  <c r="J152" i="10"/>
  <c r="J32" i="10"/>
  <c r="J257" i="10"/>
  <c r="J151" i="10"/>
  <c r="J30" i="10"/>
  <c r="J254" i="10"/>
  <c r="J150" i="10"/>
  <c r="J29" i="10"/>
  <c r="J253" i="10"/>
  <c r="J147" i="10"/>
  <c r="J141" i="10"/>
  <c r="J11" i="10"/>
  <c r="J252" i="10"/>
  <c r="J10" i="10"/>
  <c r="J250" i="10"/>
  <c r="J139" i="10"/>
  <c r="J136" i="10"/>
  <c r="J334" i="10"/>
  <c r="J132" i="10"/>
  <c r="J333" i="10"/>
  <c r="J328" i="10"/>
  <c r="J131" i="10"/>
  <c r="J249" i="10"/>
  <c r="J225" i="10"/>
  <c r="J224" i="10"/>
  <c r="J323" i="10"/>
  <c r="J223" i="10"/>
  <c r="J129" i="10"/>
  <c r="J331" i="10"/>
  <c r="J275" i="10"/>
  <c r="J213" i="10"/>
  <c r="J142" i="10"/>
  <c r="J58" i="10"/>
  <c r="J318" i="10"/>
  <c r="J255" i="10"/>
  <c r="J195" i="10"/>
  <c r="J128" i="10"/>
  <c r="J35" i="10"/>
  <c r="J308" i="10"/>
  <c r="J248" i="10"/>
  <c r="J186" i="10"/>
  <c r="J107" i="10"/>
  <c r="J28" i="10"/>
  <c r="J307" i="10"/>
  <c r="J247" i="10"/>
  <c r="J185" i="10"/>
  <c r="J104" i="10"/>
  <c r="J25" i="10"/>
  <c r="J302" i="10"/>
  <c r="J244" i="10"/>
  <c r="J184" i="10"/>
  <c r="J100" i="10"/>
  <c r="J19" i="10"/>
  <c r="J301" i="10"/>
  <c r="J243" i="10"/>
  <c r="J182" i="10"/>
  <c r="J37" i="10"/>
  <c r="J69" i="10"/>
  <c r="J101" i="10"/>
  <c r="J133" i="10"/>
  <c r="J165" i="10"/>
  <c r="J197" i="10"/>
  <c r="J229" i="10"/>
  <c r="J261" i="10"/>
  <c r="J293" i="10"/>
  <c r="J325" i="10"/>
  <c r="J38" i="10"/>
  <c r="J70" i="10"/>
  <c r="J102" i="10"/>
  <c r="J134" i="10"/>
  <c r="J166" i="10"/>
  <c r="J198" i="10"/>
  <c r="J230" i="10"/>
  <c r="J262" i="10"/>
  <c r="J294" i="10"/>
  <c r="J326" i="10"/>
  <c r="J39" i="10"/>
  <c r="J71" i="10"/>
  <c r="J103" i="10"/>
  <c r="J135" i="10"/>
  <c r="J167" i="10"/>
  <c r="J199" i="10"/>
  <c r="J231" i="10"/>
  <c r="J263" i="10"/>
  <c r="J295" i="10"/>
  <c r="J327" i="10"/>
  <c r="J40" i="10"/>
  <c r="J41" i="10"/>
  <c r="J73" i="10"/>
  <c r="J105" i="10"/>
  <c r="J137" i="10"/>
  <c r="J169" i="10"/>
  <c r="J201" i="10"/>
  <c r="J233" i="10"/>
  <c r="J265" i="10"/>
  <c r="J297" i="10"/>
  <c r="J329" i="10"/>
  <c r="J42" i="10"/>
  <c r="J74" i="10"/>
  <c r="J106" i="10"/>
  <c r="J138" i="10"/>
  <c r="J170" i="10"/>
  <c r="J202" i="10"/>
  <c r="J234" i="10"/>
  <c r="J266" i="10"/>
  <c r="J298" i="10"/>
  <c r="J330" i="10"/>
  <c r="J43" i="10"/>
  <c r="J44" i="10"/>
  <c r="J76" i="10"/>
  <c r="J108" i="10"/>
  <c r="J140" i="10"/>
  <c r="J172" i="10"/>
  <c r="J204" i="10"/>
  <c r="J236" i="10"/>
  <c r="J268" i="10"/>
  <c r="J300" i="10"/>
  <c r="J332" i="10"/>
  <c r="J15" i="10"/>
  <c r="J47" i="10"/>
  <c r="J79" i="10"/>
  <c r="J111" i="10"/>
  <c r="J143" i="10"/>
  <c r="J175" i="10"/>
  <c r="J207" i="10"/>
  <c r="J239" i="10"/>
  <c r="J271" i="10"/>
  <c r="J303" i="10"/>
  <c r="J12" i="10"/>
  <c r="J16" i="10"/>
  <c r="J48" i="10"/>
  <c r="J80" i="10"/>
  <c r="J112" i="10"/>
  <c r="J144" i="10"/>
  <c r="J176" i="10"/>
  <c r="J208" i="10"/>
  <c r="J240" i="10"/>
  <c r="J272" i="10"/>
  <c r="J304" i="10"/>
  <c r="J17" i="10"/>
  <c r="J49" i="10"/>
  <c r="J81" i="10"/>
  <c r="J113" i="10"/>
  <c r="J145" i="10"/>
  <c r="J177" i="10"/>
  <c r="J209" i="10"/>
  <c r="J241" i="10"/>
  <c r="J273" i="10"/>
  <c r="J305" i="10"/>
  <c r="J18" i="10"/>
  <c r="J50" i="10"/>
  <c r="J82" i="10"/>
  <c r="J114" i="10"/>
  <c r="J146" i="10"/>
  <c r="J178" i="10"/>
  <c r="J210" i="10"/>
  <c r="J242" i="10"/>
  <c r="J274" i="10"/>
  <c r="J306" i="10"/>
  <c r="J22" i="10"/>
  <c r="J54" i="10"/>
  <c r="J23" i="10"/>
  <c r="J55" i="10"/>
  <c r="J87" i="10"/>
  <c r="J27" i="10"/>
  <c r="J59" i="10"/>
  <c r="J91" i="10"/>
  <c r="J123" i="10"/>
  <c r="J155" i="10"/>
  <c r="J187" i="10"/>
  <c r="J219" i="10"/>
  <c r="J251" i="10"/>
  <c r="J283" i="10"/>
  <c r="J315" i="10"/>
  <c r="J31" i="10"/>
  <c r="J61" i="10"/>
  <c r="J115" i="10"/>
  <c r="J159" i="10"/>
  <c r="J212" i="10"/>
  <c r="J256" i="10"/>
  <c r="J309" i="10"/>
  <c r="J62" i="10"/>
  <c r="J116" i="10"/>
  <c r="J160" i="10"/>
  <c r="J63" i="10"/>
  <c r="J117" i="10"/>
  <c r="J161" i="10"/>
  <c r="J64" i="10"/>
  <c r="J118" i="10"/>
  <c r="J65" i="10"/>
  <c r="J119" i="10"/>
  <c r="J67" i="10"/>
  <c r="J121" i="10"/>
  <c r="J168" i="10"/>
  <c r="J218" i="10"/>
  <c r="J267" i="10"/>
  <c r="J316" i="10"/>
  <c r="J13" i="10"/>
  <c r="J68" i="10"/>
  <c r="J122" i="10"/>
  <c r="J171" i="10"/>
  <c r="J220" i="10"/>
  <c r="J269" i="10"/>
  <c r="J317" i="10"/>
  <c r="J14" i="10"/>
  <c r="J72" i="10"/>
  <c r="J124" i="10"/>
  <c r="J173" i="10"/>
  <c r="J20" i="10"/>
  <c r="J77" i="10"/>
  <c r="J126" i="10"/>
  <c r="J179" i="10"/>
  <c r="J21" i="10"/>
  <c r="J24" i="10"/>
  <c r="J26" i="10"/>
  <c r="J85" i="10"/>
  <c r="J130" i="10"/>
  <c r="J183" i="10"/>
  <c r="J227" i="10"/>
  <c r="J280" i="10"/>
  <c r="J324" i="10"/>
  <c r="J36" i="10"/>
  <c r="J95" i="10"/>
  <c r="J148" i="10"/>
  <c r="J192" i="10"/>
  <c r="J245" i="10"/>
  <c r="J289" i="10"/>
  <c r="J45" i="10"/>
  <c r="J96" i="10"/>
  <c r="J149" i="10"/>
  <c r="J193" i="10"/>
  <c r="J246" i="10"/>
  <c r="J290" i="10"/>
  <c r="J299" i="10"/>
  <c r="J238" i="10"/>
  <c r="J181" i="10"/>
  <c r="J98" i="10"/>
  <c r="J296" i="10"/>
  <c r="J237" i="10"/>
  <c r="J180" i="10"/>
  <c r="J97" i="10"/>
  <c r="J292" i="10"/>
  <c r="J235" i="10"/>
  <c r="J174" i="10"/>
  <c r="J94" i="10"/>
  <c r="J291" i="10"/>
  <c r="J232" i="10"/>
  <c r="J164" i="10"/>
  <c r="J93" i="10"/>
  <c r="J288" i="10"/>
  <c r="J228" i="10"/>
  <c r="J163" i="10"/>
  <c r="J92" i="10"/>
  <c r="J287" i="10"/>
  <c r="J226" i="10"/>
  <c r="J162" i="10"/>
  <c r="J90" i="10"/>
  <c r="F336" i="10"/>
  <c r="F339" i="10"/>
  <c r="F337" i="10"/>
  <c r="F338" i="10"/>
  <c r="F341" i="10"/>
  <c r="F340" i="10"/>
  <c r="N325" i="10"/>
  <c r="O325" i="10" s="1"/>
  <c r="N55" i="10"/>
  <c r="O55" i="10" s="1"/>
  <c r="N180" i="10"/>
  <c r="O180" i="10" s="1"/>
  <c r="N334" i="10"/>
  <c r="O334" i="10" s="1"/>
  <c r="N36" i="10"/>
  <c r="O36" i="10" s="1"/>
  <c r="N123" i="10"/>
  <c r="O123" i="10" s="1"/>
  <c r="N277" i="10"/>
  <c r="O277" i="10" s="1"/>
  <c r="N276" i="10"/>
  <c r="O276" i="10" s="1"/>
  <c r="N278" i="10"/>
  <c r="O278" i="10" s="1"/>
  <c r="N229" i="10"/>
  <c r="O229" i="10" s="1"/>
  <c r="N279" i="10"/>
  <c r="O279" i="10" s="1"/>
  <c r="N133" i="10"/>
  <c r="O133" i="10" s="1"/>
  <c r="N142" i="10"/>
  <c r="O142" i="10" s="1"/>
  <c r="N134" i="10"/>
  <c r="O134" i="10" s="1"/>
  <c r="N166" i="10"/>
  <c r="O166" i="10" s="1"/>
  <c r="N333" i="10"/>
  <c r="O333" i="10" s="1"/>
  <c r="N141" i="10"/>
  <c r="O141" i="10" s="1"/>
  <c r="N114" i="10"/>
  <c r="O114" i="10" s="1"/>
  <c r="N119" i="10"/>
  <c r="O119" i="10" s="1"/>
  <c r="N208" i="10"/>
  <c r="O208" i="10" s="1"/>
  <c r="N295" i="10"/>
  <c r="O295" i="10" s="1"/>
  <c r="N148" i="10"/>
  <c r="O148" i="10" s="1"/>
  <c r="N326" i="10"/>
  <c r="O326" i="10" s="1"/>
  <c r="N320" i="10"/>
  <c r="O320" i="10" s="1"/>
  <c r="N59" i="10"/>
  <c r="O59" i="10" s="1"/>
  <c r="N204" i="10"/>
  <c r="O204" i="10" s="1"/>
  <c r="N259" i="10"/>
  <c r="O259" i="10" s="1"/>
  <c r="N321" i="10"/>
  <c r="O321" i="10" s="1"/>
  <c r="N113" i="10"/>
  <c r="O113" i="10" s="1"/>
  <c r="N151" i="10"/>
  <c r="O151" i="10" s="1"/>
  <c r="N181" i="10"/>
  <c r="O181" i="10" s="1"/>
  <c r="N297" i="10"/>
  <c r="O297" i="10" s="1"/>
  <c r="N129" i="10"/>
  <c r="O129" i="10" s="1"/>
  <c r="N160" i="10"/>
  <c r="O160" i="10" s="1"/>
  <c r="N221" i="10"/>
  <c r="O221" i="10" s="1"/>
  <c r="N228" i="10"/>
  <c r="O228" i="10" s="1"/>
  <c r="N275" i="10"/>
  <c r="O275" i="10" s="1"/>
  <c r="N313" i="10"/>
  <c r="O313" i="10" s="1"/>
  <c r="N68" i="10"/>
  <c r="O68" i="10" s="1"/>
  <c r="N236" i="10"/>
  <c r="O236" i="10" s="1"/>
  <c r="N244" i="10"/>
  <c r="O244" i="10" s="1"/>
  <c r="N198" i="10"/>
  <c r="O198" i="10" s="1"/>
  <c r="N245" i="10"/>
  <c r="O245" i="10" s="1"/>
  <c r="N283" i="10"/>
  <c r="O283" i="10" s="1"/>
  <c r="N306" i="10"/>
  <c r="O306" i="10" s="1"/>
  <c r="N314" i="10"/>
  <c r="O314" i="10" s="1"/>
  <c r="N24" i="10"/>
  <c r="O24" i="10" s="1"/>
  <c r="N124" i="10"/>
  <c r="O124" i="10" s="1"/>
  <c r="N177" i="10"/>
  <c r="O177" i="10" s="1"/>
  <c r="N247" i="10"/>
  <c r="O247" i="10" s="1"/>
  <c r="N309" i="10"/>
  <c r="O309" i="10" s="1"/>
  <c r="N78" i="10"/>
  <c r="O78" i="10" s="1"/>
  <c r="N140" i="10"/>
  <c r="O140" i="10" s="1"/>
  <c r="N87" i="10"/>
  <c r="O87" i="10" s="1"/>
  <c r="N61" i="10"/>
  <c r="O61" i="10" s="1"/>
  <c r="N261" i="10"/>
  <c r="O261" i="10" s="1"/>
  <c r="N254" i="10"/>
  <c r="O254" i="10" s="1"/>
  <c r="N33" i="10"/>
  <c r="O33" i="10" s="1"/>
  <c r="N88" i="10"/>
  <c r="O88" i="10" s="1"/>
  <c r="N225" i="10"/>
  <c r="O225" i="10" s="1"/>
  <c r="N233" i="10"/>
  <c r="O233" i="10" s="1"/>
  <c r="N153" i="10"/>
  <c r="O153" i="10" s="1"/>
  <c r="N101" i="10"/>
  <c r="O101" i="10" s="1"/>
  <c r="N63" i="10"/>
  <c r="O63" i="10" s="1"/>
  <c r="N118" i="10"/>
  <c r="O118" i="10" s="1"/>
  <c r="N71" i="10"/>
  <c r="O71" i="10" s="1"/>
  <c r="N264" i="10"/>
  <c r="O264" i="10" s="1"/>
  <c r="N49" i="10"/>
  <c r="O49" i="10" s="1"/>
  <c r="N241" i="10"/>
  <c r="O241" i="10" s="1"/>
  <c r="N38" i="10"/>
  <c r="O38" i="10" s="1"/>
  <c r="N222" i="10"/>
  <c r="O222" i="10" s="1"/>
  <c r="N23" i="10"/>
  <c r="O23" i="10" s="1"/>
  <c r="N169" i="10"/>
  <c r="O169" i="10" s="1"/>
  <c r="N17" i="10"/>
  <c r="O17" i="10" s="1"/>
  <c r="N110" i="10"/>
  <c r="O110" i="10" s="1"/>
  <c r="N72" i="10"/>
  <c r="O72" i="10" s="1"/>
  <c r="N206" i="10"/>
  <c r="O206" i="10" s="1"/>
  <c r="N39" i="10"/>
  <c r="O39" i="10" s="1"/>
  <c r="N300" i="10"/>
  <c r="O300" i="10" s="1"/>
  <c r="N42" i="10"/>
  <c r="O42" i="10" s="1"/>
  <c r="N120" i="10"/>
  <c r="O120" i="10" s="1"/>
  <c r="N135" i="10"/>
  <c r="O135" i="10" s="1"/>
  <c r="N304" i="10"/>
  <c r="O304" i="10" s="1"/>
  <c r="N284" i="10"/>
  <c r="O284" i="10" s="1"/>
  <c r="N154" i="10"/>
  <c r="O154" i="10" s="1"/>
  <c r="N285" i="10"/>
  <c r="O285" i="10" s="1"/>
  <c r="N184" i="10"/>
  <c r="O184" i="10" s="1"/>
  <c r="N155" i="10"/>
  <c r="O155" i="10" s="1"/>
  <c r="N102" i="10"/>
  <c r="O102" i="10" s="1"/>
  <c r="N178" i="10"/>
  <c r="O178" i="10" s="1"/>
  <c r="N41" i="10"/>
  <c r="O41" i="10" s="1"/>
  <c r="N12" i="10"/>
  <c r="O12" i="10" s="1"/>
  <c r="N273" i="10"/>
  <c r="O273" i="10" s="1"/>
  <c r="N239" i="10"/>
  <c r="O239" i="10" s="1"/>
  <c r="N256" i="10"/>
  <c r="O256" i="10" s="1"/>
  <c r="N267" i="10"/>
  <c r="O267" i="10" s="1"/>
  <c r="N324" i="10"/>
  <c r="O324" i="10" s="1"/>
  <c r="N122" i="10"/>
  <c r="O122" i="10" s="1"/>
  <c r="N60" i="10"/>
  <c r="O60" i="10" s="1"/>
  <c r="N105" i="10"/>
  <c r="O105" i="10" s="1"/>
  <c r="N217" i="10"/>
  <c r="O217" i="10" s="1"/>
  <c r="N32" i="10"/>
  <c r="O32" i="10" s="1"/>
  <c r="N111" i="10"/>
  <c r="O111" i="10" s="1"/>
  <c r="N218" i="10"/>
  <c r="O218" i="10" s="1"/>
  <c r="N37" i="10"/>
  <c r="O37" i="10" s="1"/>
  <c r="N193" i="10"/>
  <c r="O193" i="10" s="1"/>
  <c r="N116" i="10"/>
  <c r="O116" i="10" s="1"/>
  <c r="N144" i="10"/>
  <c r="O144" i="10" s="1"/>
  <c r="N66" i="10"/>
  <c r="O66" i="10" s="1"/>
  <c r="N106" i="10"/>
  <c r="O106" i="10" s="1"/>
  <c r="N308" i="10"/>
  <c r="O308" i="10" s="1"/>
  <c r="N161" i="10"/>
  <c r="O161" i="10" s="1"/>
  <c r="N230" i="10"/>
  <c r="O230" i="10" s="1"/>
  <c r="N258" i="10"/>
  <c r="O258" i="10" s="1"/>
  <c r="N280" i="10"/>
  <c r="O280" i="10" s="1"/>
  <c r="N157" i="10"/>
  <c r="O157" i="10" s="1"/>
  <c r="N226" i="10"/>
  <c r="O226" i="10" s="1"/>
  <c r="N91" i="10"/>
  <c r="O91" i="10" s="1"/>
  <c r="N197" i="10"/>
  <c r="O197" i="10" s="1"/>
  <c r="N202" i="10"/>
  <c r="O202" i="10" s="1"/>
  <c r="N298" i="10"/>
  <c r="O298" i="10" s="1"/>
  <c r="N270" i="10"/>
  <c r="O270" i="10" s="1"/>
  <c r="N125" i="10"/>
  <c r="O125" i="10" s="1"/>
  <c r="N248" i="10"/>
  <c r="O248" i="10" s="1"/>
  <c r="N281" i="10"/>
  <c r="O281" i="10" s="1"/>
  <c r="N293" i="10"/>
  <c r="O293" i="10" s="1"/>
  <c r="N46" i="10"/>
  <c r="O46" i="10" s="1"/>
  <c r="N243" i="10"/>
  <c r="O243" i="10" s="1"/>
  <c r="N126" i="10"/>
  <c r="O126" i="10" s="1"/>
  <c r="N170" i="10"/>
  <c r="O170" i="10" s="1"/>
  <c r="N156" i="10"/>
  <c r="O156" i="10" s="1"/>
  <c r="N73" i="10"/>
  <c r="O73" i="10" s="1"/>
  <c r="N80" i="10"/>
  <c r="O80" i="10" s="1"/>
  <c r="N14" i="10"/>
  <c r="O14" i="10" s="1"/>
  <c r="N93" i="10"/>
  <c r="O93" i="10" s="1"/>
  <c r="N29" i="10"/>
  <c r="O29" i="10" s="1"/>
  <c r="N86" i="10"/>
  <c r="O86" i="10" s="1"/>
  <c r="N260" i="10"/>
  <c r="O260" i="10" s="1"/>
  <c r="N149" i="10"/>
  <c r="O149" i="10" s="1"/>
  <c r="N176" i="10"/>
  <c r="O176" i="10" s="1"/>
  <c r="N69" i="10"/>
  <c r="O69" i="10" s="1"/>
  <c r="N175" i="10"/>
  <c r="O175" i="10" s="1"/>
  <c r="N31" i="10"/>
  <c r="O31" i="10" s="1"/>
  <c r="N81" i="10"/>
  <c r="O81" i="10" s="1"/>
  <c r="N99" i="10"/>
  <c r="O99" i="10" s="1"/>
  <c r="N115" i="10"/>
  <c r="O115" i="10" s="1"/>
  <c r="N238" i="10"/>
  <c r="O238" i="10" s="1"/>
  <c r="N288" i="10"/>
  <c r="O288" i="10" s="1"/>
  <c r="N294" i="10"/>
  <c r="O294" i="10" s="1"/>
  <c r="N57" i="10"/>
  <c r="O57" i="10" s="1"/>
  <c r="N70" i="10"/>
  <c r="O70" i="10" s="1"/>
  <c r="N210" i="10"/>
  <c r="O210" i="10" s="1"/>
  <c r="N95" i="10"/>
  <c r="O95" i="10" s="1"/>
  <c r="N131" i="10"/>
  <c r="O131" i="10" s="1"/>
  <c r="N185" i="10"/>
  <c r="O185" i="10" s="1"/>
  <c r="N211" i="10"/>
  <c r="O211" i="10" s="1"/>
  <c r="N216" i="10"/>
  <c r="O216" i="10" s="1"/>
  <c r="N90" i="10"/>
  <c r="O90" i="10" s="1"/>
  <c r="N20" i="10"/>
  <c r="O20" i="10" s="1"/>
  <c r="N28" i="10"/>
  <c r="O28" i="10" s="1"/>
  <c r="N196" i="10"/>
  <c r="O196" i="10" s="1"/>
  <c r="N77" i="10"/>
  <c r="O77" i="10" s="1"/>
  <c r="N192" i="10"/>
  <c r="O192" i="10" s="1"/>
  <c r="N51" i="10"/>
  <c r="O51" i="10" s="1"/>
  <c r="N54" i="10"/>
  <c r="O54" i="10" s="1"/>
  <c r="N82" i="10"/>
  <c r="O82" i="10" s="1"/>
  <c r="N21" i="10"/>
  <c r="O21" i="10" s="1"/>
  <c r="N274" i="10"/>
  <c r="O274" i="10" s="1"/>
  <c r="N159" i="10"/>
  <c r="O159" i="10" s="1"/>
  <c r="N201" i="10"/>
  <c r="O201" i="10" s="1"/>
  <c r="N242" i="10"/>
  <c r="O242" i="10" s="1"/>
  <c r="N257" i="10"/>
  <c r="O257" i="10" s="1"/>
  <c r="N317" i="10"/>
  <c r="O317" i="10" s="1"/>
  <c r="N34" i="10"/>
  <c r="O34" i="10" s="1"/>
  <c r="N214" i="10"/>
  <c r="O214" i="10" s="1"/>
  <c r="N224" i="10"/>
  <c r="O224" i="10" s="1"/>
  <c r="N152" i="10"/>
  <c r="O152" i="10" s="1"/>
  <c r="N30" i="10"/>
  <c r="O30" i="10" s="1"/>
  <c r="N52" i="10"/>
  <c r="O52" i="10" s="1"/>
  <c r="N121" i="10"/>
  <c r="O121" i="10" s="1"/>
  <c r="N62" i="10"/>
  <c r="O62" i="10" s="1"/>
  <c r="N237" i="10"/>
  <c r="O237" i="10" s="1"/>
  <c r="N302" i="10"/>
  <c r="O302" i="10" s="1"/>
  <c r="G338" i="10"/>
  <c r="G337" i="10"/>
  <c r="N11" i="10"/>
  <c r="O11" i="10" s="1"/>
  <c r="N269" i="10"/>
  <c r="O269" i="10" s="1"/>
  <c r="N312" i="10"/>
  <c r="O312" i="10" s="1"/>
  <c r="N136" i="10"/>
  <c r="O136" i="10" s="1"/>
  <c r="N25" i="10"/>
  <c r="O25" i="10" s="1"/>
  <c r="N40" i="10"/>
  <c r="O40" i="10" s="1"/>
  <c r="N168" i="10"/>
  <c r="O168" i="10" s="1"/>
  <c r="N172" i="10"/>
  <c r="O172" i="10" s="1"/>
  <c r="N74" i="10"/>
  <c r="O74" i="10" s="1"/>
  <c r="N190" i="10"/>
  <c r="O190" i="10" s="1"/>
  <c r="N212" i="10"/>
  <c r="O212" i="10" s="1"/>
  <c r="N262" i="10"/>
  <c r="O262" i="10" s="1"/>
  <c r="N16" i="10"/>
  <c r="O16" i="10" s="1"/>
  <c r="N174" i="10"/>
  <c r="O174" i="10" s="1"/>
  <c r="N64" i="10"/>
  <c r="O64" i="10" s="1"/>
  <c r="N117" i="10"/>
  <c r="O117" i="10" s="1"/>
  <c r="N162" i="10"/>
  <c r="O162" i="10" s="1"/>
  <c r="N266" i="10"/>
  <c r="O266" i="10" s="1"/>
  <c r="N150" i="10"/>
  <c r="O150" i="10" s="1"/>
  <c r="N195" i="10"/>
  <c r="O195" i="10" s="1"/>
  <c r="N263" i="10"/>
  <c r="O263" i="10" s="1"/>
  <c r="N191" i="10"/>
  <c r="O191" i="10" s="1"/>
  <c r="N13" i="10"/>
  <c r="O13" i="10" s="1"/>
  <c r="N163" i="10"/>
  <c r="O163" i="10" s="1"/>
  <c r="N146" i="10"/>
  <c r="O146" i="10" s="1"/>
  <c r="N179" i="10"/>
  <c r="O179" i="10" s="1"/>
  <c r="N223" i="10"/>
  <c r="O223" i="10" s="1"/>
  <c r="N329" i="10"/>
  <c r="O329" i="10" s="1"/>
  <c r="N76" i="10"/>
  <c r="O76" i="10" s="1"/>
  <c r="N65" i="10"/>
  <c r="O65" i="10" s="1"/>
  <c r="N84" i="10"/>
  <c r="O84" i="10" s="1"/>
  <c r="G336" i="10"/>
  <c r="N303" i="10"/>
  <c r="O303" i="10" s="1"/>
  <c r="N246" i="10"/>
  <c r="O246" i="10" s="1"/>
  <c r="N287" i="10"/>
  <c r="O287" i="10" s="1"/>
  <c r="N291" i="10"/>
  <c r="O291" i="10" s="1"/>
  <c r="N45" i="10"/>
  <c r="O45" i="10" s="1"/>
  <c r="N158" i="10"/>
  <c r="O158" i="10" s="1"/>
  <c r="N268" i="10"/>
  <c r="O268" i="10" s="1"/>
  <c r="N165" i="10"/>
  <c r="O165" i="10" s="1"/>
  <c r="N67" i="10"/>
  <c r="O67" i="10" s="1"/>
  <c r="N130" i="10"/>
  <c r="O130" i="10" s="1"/>
  <c r="N187" i="10"/>
  <c r="O187" i="10" s="1"/>
  <c r="N188" i="10"/>
  <c r="O188" i="10" s="1"/>
  <c r="N50" i="10"/>
  <c r="O50" i="10" s="1"/>
  <c r="N56" i="10"/>
  <c r="O56" i="10" s="1"/>
  <c r="N209" i="10"/>
  <c r="O209" i="10" s="1"/>
  <c r="N213" i="10"/>
  <c r="O213" i="10" s="1"/>
  <c r="N227" i="10"/>
  <c r="O227" i="10" s="1"/>
  <c r="N145" i="10"/>
  <c r="O145" i="10" s="1"/>
  <c r="N231" i="10"/>
  <c r="O231" i="10" s="1"/>
  <c r="N282" i="10"/>
  <c r="O282" i="10" s="1"/>
  <c r="N318" i="10"/>
  <c r="O318" i="10" s="1"/>
  <c r="N47" i="10"/>
  <c r="O47" i="10" s="1"/>
  <c r="N173" i="10"/>
  <c r="O173" i="10" s="1"/>
  <c r="N97" i="10"/>
  <c r="O97" i="10" s="1"/>
  <c r="N234" i="10"/>
  <c r="O234" i="10" s="1"/>
  <c r="N100" i="10"/>
  <c r="O100" i="10" s="1"/>
  <c r="N289" i="10"/>
  <c r="O289" i="10" s="1"/>
  <c r="B337" i="10"/>
  <c r="D340" i="10"/>
  <c r="D339" i="10"/>
  <c r="N35" i="10"/>
  <c r="O35" i="10" s="1"/>
  <c r="N75" i="10"/>
  <c r="O75" i="10" s="1"/>
  <c r="N189" i="10"/>
  <c r="O189" i="10" s="1"/>
  <c r="N253" i="10"/>
  <c r="O253" i="10" s="1"/>
  <c r="N271" i="10"/>
  <c r="O271" i="10" s="1"/>
  <c r="N315" i="10"/>
  <c r="O315" i="10" s="1"/>
  <c r="N44" i="10"/>
  <c r="O44" i="10" s="1"/>
  <c r="N286" i="10"/>
  <c r="O286" i="10" s="1"/>
  <c r="N79" i="10"/>
  <c r="O79" i="10" s="1"/>
  <c r="N183" i="10"/>
  <c r="O183" i="10" s="1"/>
  <c r="G341" i="10"/>
  <c r="G340" i="10"/>
  <c r="N10" i="10"/>
  <c r="N299" i="10"/>
  <c r="O299" i="10" s="1"/>
  <c r="G339" i="10"/>
  <c r="N139" i="10"/>
  <c r="O139" i="10" s="1"/>
  <c r="N292" i="10"/>
  <c r="O292" i="10" s="1"/>
  <c r="N305" i="10"/>
  <c r="O305" i="10" s="1"/>
  <c r="N200" i="10"/>
  <c r="O200" i="10" s="1"/>
  <c r="N205" i="10"/>
  <c r="O205" i="10" s="1"/>
  <c r="N323" i="10"/>
  <c r="O323" i="10" s="1"/>
  <c r="N330" i="10"/>
  <c r="O330" i="10" s="1"/>
  <c r="N143" i="10"/>
  <c r="O143" i="10" s="1"/>
  <c r="N301" i="10"/>
  <c r="O301" i="10" s="1"/>
  <c r="N43" i="10"/>
  <c r="O43" i="10" s="1"/>
  <c r="N128" i="10"/>
  <c r="O128" i="10" s="1"/>
  <c r="N319" i="10"/>
  <c r="O319" i="10" s="1"/>
  <c r="N328" i="10"/>
  <c r="O328" i="10" s="1"/>
  <c r="N331" i="10"/>
  <c r="O331" i="10" s="1"/>
  <c r="N108" i="10"/>
  <c r="O108" i="10" s="1"/>
  <c r="N58" i="10"/>
  <c r="O58" i="10" s="1"/>
  <c r="N322" i="10"/>
  <c r="O322" i="10" s="1"/>
  <c r="B336" i="10"/>
  <c r="B341" i="10"/>
  <c r="B338" i="10"/>
  <c r="B340" i="10"/>
  <c r="B339" i="10"/>
  <c r="N207" i="10"/>
  <c r="O207" i="10" s="1"/>
  <c r="C339" i="10"/>
  <c r="C338" i="10"/>
  <c r="C341" i="10"/>
  <c r="C340" i="10"/>
  <c r="C337" i="10"/>
  <c r="C336" i="10"/>
  <c r="N232" i="10"/>
  <c r="O232" i="10" s="1"/>
  <c r="D338" i="10"/>
  <c r="D341" i="10"/>
  <c r="D337" i="10"/>
  <c r="N171" i="10"/>
  <c r="O171" i="10" s="1"/>
  <c r="N215" i="10"/>
  <c r="O215" i="10" s="1"/>
  <c r="N252" i="10"/>
  <c r="O252" i="10" s="1"/>
  <c r="N310" i="10"/>
  <c r="O310" i="10" s="1"/>
  <c r="D336" i="10"/>
  <c r="N199" i="10"/>
  <c r="O199" i="10" s="1"/>
  <c r="N332" i="10"/>
  <c r="O332" i="10" s="1"/>
  <c r="N220" i="10"/>
  <c r="O220" i="10" s="1"/>
  <c r="N255" i="10"/>
  <c r="O255" i="10" s="1"/>
  <c r="N290" i="10"/>
  <c r="O290" i="10" s="1"/>
  <c r="N164" i="10"/>
  <c r="O164" i="10" s="1"/>
  <c r="N127" i="10"/>
  <c r="O127" i="10" s="1"/>
  <c r="L253" i="9"/>
  <c r="L312" i="9"/>
  <c r="L277" i="9"/>
  <c r="L269" i="9"/>
  <c r="L237" i="9"/>
  <c r="L194" i="9"/>
  <c r="L331" i="9"/>
  <c r="L296" i="9"/>
  <c r="L229" i="9"/>
  <c r="L186" i="9"/>
  <c r="L155" i="9"/>
  <c r="L127" i="9"/>
  <c r="L111" i="9"/>
  <c r="L95" i="9"/>
  <c r="L91" i="9"/>
  <c r="L59" i="9"/>
  <c r="L27" i="9"/>
  <c r="L79" i="9"/>
  <c r="L67" i="9"/>
  <c r="L333" i="9"/>
  <c r="L279" i="9"/>
  <c r="L227" i="9"/>
  <c r="L322" i="9"/>
  <c r="L306" i="9"/>
  <c r="L212" i="9"/>
  <c r="L268" i="9"/>
  <c r="L138" i="9"/>
  <c r="L327" i="9"/>
  <c r="L178" i="9"/>
  <c r="L139" i="9"/>
  <c r="L323" i="9"/>
  <c r="L280" i="9"/>
  <c r="L170" i="9"/>
  <c r="L43" i="9"/>
  <c r="L205" i="9"/>
  <c r="L135" i="9"/>
  <c r="L200" i="9"/>
  <c r="L165" i="9"/>
  <c r="L259" i="9"/>
  <c r="L153" i="9"/>
  <c r="L267" i="9"/>
  <c r="L211" i="9"/>
  <c r="L324" i="9"/>
  <c r="L68" i="9"/>
  <c r="L300" i="9"/>
  <c r="L171" i="9"/>
  <c r="L263" i="9"/>
  <c r="L320" i="9"/>
  <c r="L147" i="9"/>
  <c r="L245" i="9"/>
  <c r="L202" i="9"/>
  <c r="L159" i="9"/>
  <c r="L75" i="9"/>
  <c r="L71" i="9"/>
  <c r="L55" i="9"/>
  <c r="L288" i="9"/>
  <c r="L47" i="9"/>
  <c r="L260" i="9"/>
  <c r="L220" i="9"/>
  <c r="L264" i="9"/>
  <c r="L176" i="9"/>
  <c r="L45" i="9"/>
  <c r="L290" i="9"/>
  <c r="L219" i="9"/>
  <c r="L301" i="9"/>
  <c r="L112" i="9"/>
  <c r="L29" i="9"/>
  <c r="L248" i="9"/>
  <c r="L228" i="9"/>
  <c r="L162" i="9"/>
  <c r="L154" i="9"/>
  <c r="L98" i="9"/>
  <c r="L160" i="9"/>
  <c r="L96" i="9"/>
  <c r="L242" i="9"/>
  <c r="L48" i="9"/>
  <c r="L213" i="9"/>
  <c r="L258" i="9"/>
  <c r="L226" i="9"/>
  <c r="L24" i="9"/>
  <c r="L183" i="9"/>
  <c r="L311" i="9"/>
  <c r="L130" i="9"/>
  <c r="L66" i="9"/>
  <c r="L215" i="9"/>
  <c r="L164" i="9"/>
  <c r="L10" i="9"/>
  <c r="I172" i="9"/>
  <c r="L172" i="9" s="1"/>
  <c r="J119" i="9"/>
  <c r="H84" i="9"/>
  <c r="L84" i="9" s="1"/>
  <c r="I84" i="9"/>
  <c r="J84" i="9"/>
  <c r="H38" i="9"/>
  <c r="G38" i="9"/>
  <c r="J38" i="9"/>
  <c r="G14" i="9"/>
  <c r="H14" i="9"/>
  <c r="I14" i="9"/>
  <c r="J14" i="9"/>
  <c r="H180" i="9"/>
  <c r="I180" i="9"/>
  <c r="J180" i="9"/>
  <c r="G273" i="9"/>
  <c r="J273" i="9"/>
  <c r="H273" i="9"/>
  <c r="I273" i="9"/>
  <c r="I302" i="9"/>
  <c r="G302" i="9"/>
  <c r="H302" i="9"/>
  <c r="J302" i="9"/>
  <c r="J295" i="9"/>
  <c r="L295" i="9" s="1"/>
  <c r="G209" i="9"/>
  <c r="H209" i="9"/>
  <c r="J209" i="9"/>
  <c r="I209" i="9"/>
  <c r="G198" i="9"/>
  <c r="H198" i="9"/>
  <c r="J198" i="9"/>
  <c r="G145" i="9"/>
  <c r="J145" i="9"/>
  <c r="H145" i="9"/>
  <c r="I145" i="9"/>
  <c r="J83" i="9"/>
  <c r="G49" i="9"/>
  <c r="H49" i="9"/>
  <c r="I49" i="9"/>
  <c r="J49" i="9"/>
  <c r="H22" i="9"/>
  <c r="G22" i="9"/>
  <c r="J22" i="9"/>
  <c r="I236" i="9"/>
  <c r="J236" i="9"/>
  <c r="G65" i="9"/>
  <c r="H65" i="9"/>
  <c r="I65" i="9"/>
  <c r="J65" i="9"/>
  <c r="G310" i="9"/>
  <c r="J310" i="9"/>
  <c r="H291" i="9"/>
  <c r="L291" i="9" s="1"/>
  <c r="I291" i="9"/>
  <c r="H164" i="9"/>
  <c r="I164" i="9"/>
  <c r="J164" i="9"/>
  <c r="H126" i="9"/>
  <c r="G126" i="9"/>
  <c r="I126" i="9"/>
  <c r="J126" i="9"/>
  <c r="H99" i="9"/>
  <c r="L99" i="9" s="1"/>
  <c r="I99" i="9"/>
  <c r="I76" i="9"/>
  <c r="G246" i="9"/>
  <c r="H246" i="9"/>
  <c r="J246" i="9"/>
  <c r="G110" i="9"/>
  <c r="H110" i="9"/>
  <c r="I110" i="9"/>
  <c r="J110" i="9"/>
  <c r="G294" i="9"/>
  <c r="J294" i="9"/>
  <c r="I268" i="9"/>
  <c r="J268" i="9"/>
  <c r="J238" i="9"/>
  <c r="H238" i="9"/>
  <c r="G238" i="9"/>
  <c r="I238" i="9"/>
  <c r="H212" i="9"/>
  <c r="I212" i="9"/>
  <c r="J212" i="9"/>
  <c r="H148" i="9"/>
  <c r="I148" i="9"/>
  <c r="J148" i="9"/>
  <c r="J87" i="9"/>
  <c r="L87" i="9" s="1"/>
  <c r="H52" i="9"/>
  <c r="L52" i="9" s="1"/>
  <c r="I52" i="9"/>
  <c r="J52" i="9"/>
  <c r="G25" i="9"/>
  <c r="I92" i="9"/>
  <c r="J247" i="9"/>
  <c r="I316" i="9"/>
  <c r="J316" i="9"/>
  <c r="G54" i="9"/>
  <c r="H54" i="9"/>
  <c r="J54" i="9"/>
  <c r="H324" i="9"/>
  <c r="I324" i="9"/>
  <c r="J324" i="9"/>
  <c r="G17" i="9"/>
  <c r="H17" i="9"/>
  <c r="I17" i="9"/>
  <c r="J17" i="9"/>
  <c r="G137" i="9"/>
  <c r="L137" i="9" s="1"/>
  <c r="H179" i="9"/>
  <c r="I179" i="9"/>
  <c r="I156" i="9"/>
  <c r="L156" i="9" s="1"/>
  <c r="G94" i="9"/>
  <c r="H94" i="9"/>
  <c r="I94" i="9"/>
  <c r="J94" i="9"/>
  <c r="H67" i="9"/>
  <c r="I67" i="9"/>
  <c r="H206" i="9"/>
  <c r="G206" i="9"/>
  <c r="I206" i="9"/>
  <c r="J206" i="9"/>
  <c r="I284" i="9"/>
  <c r="J284" i="9"/>
  <c r="H228" i="9"/>
  <c r="I228" i="9"/>
  <c r="J228" i="9"/>
  <c r="H190" i="9"/>
  <c r="I190" i="9"/>
  <c r="J190" i="9"/>
  <c r="G190" i="9"/>
  <c r="L190" i="9" s="1"/>
  <c r="G118" i="9"/>
  <c r="H118" i="9"/>
  <c r="J118" i="9"/>
  <c r="I44" i="9"/>
  <c r="H36" i="9"/>
  <c r="L36" i="9" s="1"/>
  <c r="I36" i="9"/>
  <c r="J36" i="9"/>
  <c r="H142" i="9"/>
  <c r="G142" i="9"/>
  <c r="I142" i="9"/>
  <c r="J142" i="9"/>
  <c r="G257" i="9"/>
  <c r="J257" i="9"/>
  <c r="H257" i="9"/>
  <c r="I257" i="9"/>
  <c r="H83" i="9"/>
  <c r="L83" i="9" s="1"/>
  <c r="I83" i="9"/>
  <c r="I60" i="9"/>
  <c r="L60" i="9" s="1"/>
  <c r="J167" i="9"/>
  <c r="L167" i="9" s="1"/>
  <c r="G249" i="9"/>
  <c r="H249" i="9"/>
  <c r="I249" i="9"/>
  <c r="J249" i="9"/>
  <c r="G161" i="9"/>
  <c r="L161" i="9" s="1"/>
  <c r="H161" i="9"/>
  <c r="I161" i="9"/>
  <c r="J161" i="9"/>
  <c r="G193" i="9"/>
  <c r="J193" i="9"/>
  <c r="H193" i="9"/>
  <c r="I193" i="9"/>
  <c r="G102" i="9"/>
  <c r="H102" i="9"/>
  <c r="J102" i="9"/>
  <c r="H260" i="9"/>
  <c r="I260" i="9"/>
  <c r="J260" i="9"/>
  <c r="G121" i="9"/>
  <c r="G241" i="9"/>
  <c r="H241" i="9"/>
  <c r="J241" i="9"/>
  <c r="I241" i="9"/>
  <c r="G230" i="9"/>
  <c r="H230" i="9"/>
  <c r="J230" i="9"/>
  <c r="I28" i="9"/>
  <c r="H20" i="9"/>
  <c r="I20" i="9"/>
  <c r="J20" i="9"/>
  <c r="H195" i="9"/>
  <c r="I195" i="9"/>
  <c r="I332" i="9"/>
  <c r="J332" i="9"/>
  <c r="G262" i="9"/>
  <c r="H262" i="9"/>
  <c r="J262" i="9"/>
  <c r="G305" i="9"/>
  <c r="L305" i="9" s="1"/>
  <c r="H305" i="9"/>
  <c r="I305" i="9"/>
  <c r="J305" i="9"/>
  <c r="G201" i="9"/>
  <c r="I201" i="9"/>
  <c r="H201" i="9"/>
  <c r="J201" i="9"/>
  <c r="G41" i="9"/>
  <c r="H227" i="9"/>
  <c r="I227" i="9"/>
  <c r="G334" i="9"/>
  <c r="H334" i="9"/>
  <c r="I334" i="9"/>
  <c r="J334" i="9"/>
  <c r="J174" i="9"/>
  <c r="G174" i="9"/>
  <c r="I174" i="9"/>
  <c r="H174" i="9"/>
  <c r="I140" i="9"/>
  <c r="L140" i="9" s="1"/>
  <c r="G185" i="9"/>
  <c r="H132" i="9"/>
  <c r="I132" i="9"/>
  <c r="J132" i="9"/>
  <c r="G86" i="9"/>
  <c r="H86" i="9"/>
  <c r="J86" i="9"/>
  <c r="H115" i="9"/>
  <c r="I115" i="9"/>
  <c r="G73" i="9"/>
  <c r="L73" i="9" s="1"/>
  <c r="G265" i="9"/>
  <c r="L265" i="9" s="1"/>
  <c r="I265" i="9"/>
  <c r="J265" i="9"/>
  <c r="H265" i="9"/>
  <c r="G113" i="9"/>
  <c r="H113" i="9"/>
  <c r="I113" i="9"/>
  <c r="J113" i="9"/>
  <c r="H243" i="9"/>
  <c r="I243" i="9"/>
  <c r="G129" i="9"/>
  <c r="J129" i="9"/>
  <c r="H129" i="9"/>
  <c r="I129" i="9"/>
  <c r="H275" i="9"/>
  <c r="I275" i="9"/>
  <c r="I204" i="9"/>
  <c r="L204" i="9" s="1"/>
  <c r="G326" i="9"/>
  <c r="J326" i="9"/>
  <c r="I252" i="9"/>
  <c r="J252" i="9"/>
  <c r="I222" i="9"/>
  <c r="H222" i="9"/>
  <c r="G222" i="9"/>
  <c r="J222" i="9"/>
  <c r="H292" i="9"/>
  <c r="I292" i="9"/>
  <c r="J292" i="9"/>
  <c r="I254" i="9"/>
  <c r="G254" i="9"/>
  <c r="H254" i="9"/>
  <c r="J254" i="9"/>
  <c r="J231" i="9"/>
  <c r="L231" i="9" s="1"/>
  <c r="I286" i="9"/>
  <c r="J286" i="9"/>
  <c r="G286" i="9"/>
  <c r="H286" i="9"/>
  <c r="J71" i="9"/>
  <c r="J307" i="9"/>
  <c r="J215" i="9"/>
  <c r="H147" i="9"/>
  <c r="I147" i="9"/>
  <c r="G289" i="9"/>
  <c r="H289" i="9"/>
  <c r="J289" i="9"/>
  <c r="I289" i="9"/>
  <c r="J255" i="9"/>
  <c r="H196" i="9"/>
  <c r="L196" i="9" s="1"/>
  <c r="I196" i="9"/>
  <c r="J196" i="9"/>
  <c r="G166" i="9"/>
  <c r="H166" i="9"/>
  <c r="J166" i="9"/>
  <c r="J151" i="9"/>
  <c r="L151" i="9" s="1"/>
  <c r="J131" i="9"/>
  <c r="L131" i="9" s="1"/>
  <c r="G97" i="9"/>
  <c r="H97" i="9"/>
  <c r="I97" i="9"/>
  <c r="J97" i="9"/>
  <c r="J303" i="9"/>
  <c r="I300" i="9"/>
  <c r="J300" i="9"/>
  <c r="I255" i="9"/>
  <c r="I199" i="9"/>
  <c r="G177" i="9"/>
  <c r="L177" i="9" s="1"/>
  <c r="J177" i="9"/>
  <c r="H177" i="9"/>
  <c r="I177" i="9"/>
  <c r="G105" i="9"/>
  <c r="J55" i="9"/>
  <c r="G39" i="9"/>
  <c r="L39" i="9" s="1"/>
  <c r="I23" i="9"/>
  <c r="H100" i="9"/>
  <c r="I100" i="9"/>
  <c r="J100" i="9"/>
  <c r="G182" i="9"/>
  <c r="H182" i="9"/>
  <c r="J182" i="9"/>
  <c r="J279" i="9"/>
  <c r="H308" i="9"/>
  <c r="L308" i="9" s="1"/>
  <c r="I308" i="9"/>
  <c r="J308" i="9"/>
  <c r="H211" i="9"/>
  <c r="I211" i="9"/>
  <c r="G78" i="9"/>
  <c r="H78" i="9"/>
  <c r="I78" i="9"/>
  <c r="J78" i="9"/>
  <c r="H51" i="9"/>
  <c r="I51" i="9"/>
  <c r="I12" i="9"/>
  <c r="I338" i="9" s="1"/>
  <c r="I303" i="9"/>
  <c r="G278" i="9"/>
  <c r="J278" i="9"/>
  <c r="H255" i="9"/>
  <c r="L255" i="9" s="1"/>
  <c r="H199" i="9"/>
  <c r="J195" i="9"/>
  <c r="H158" i="9"/>
  <c r="G158" i="9"/>
  <c r="I158" i="9"/>
  <c r="J158" i="9"/>
  <c r="I124" i="9"/>
  <c r="H23" i="9"/>
  <c r="G297" i="9"/>
  <c r="H297" i="9"/>
  <c r="I297" i="9"/>
  <c r="H303" i="9"/>
  <c r="G292" i="9"/>
  <c r="H236" i="9"/>
  <c r="G233" i="9"/>
  <c r="H233" i="9"/>
  <c r="I233" i="9"/>
  <c r="J233" i="9"/>
  <c r="G199" i="9"/>
  <c r="G195" i="9"/>
  <c r="H116" i="9"/>
  <c r="I116" i="9"/>
  <c r="J116" i="9"/>
  <c r="G100" i="9"/>
  <c r="G70" i="9"/>
  <c r="H70" i="9"/>
  <c r="J70" i="9"/>
  <c r="I54" i="9"/>
  <c r="H35" i="9"/>
  <c r="L35" i="9" s="1"/>
  <c r="I35" i="9"/>
  <c r="G23" i="9"/>
  <c r="L23" i="9" s="1"/>
  <c r="G30" i="9"/>
  <c r="H30" i="9"/>
  <c r="I30" i="9"/>
  <c r="J30" i="9"/>
  <c r="G33" i="9"/>
  <c r="L33" i="9" s="1"/>
  <c r="H33" i="9"/>
  <c r="I33" i="9"/>
  <c r="J33" i="9"/>
  <c r="H276" i="9"/>
  <c r="I276" i="9"/>
  <c r="J276" i="9"/>
  <c r="J327" i="9"/>
  <c r="H163" i="9"/>
  <c r="L163" i="9" s="1"/>
  <c r="I163" i="9"/>
  <c r="H332" i="9"/>
  <c r="J318" i="9"/>
  <c r="H318" i="9"/>
  <c r="G318" i="9"/>
  <c r="I318" i="9"/>
  <c r="H259" i="9"/>
  <c r="I259" i="9"/>
  <c r="G236" i="9"/>
  <c r="G180" i="9"/>
  <c r="G62" i="9"/>
  <c r="H62" i="9"/>
  <c r="I62" i="9"/>
  <c r="J62" i="9"/>
  <c r="H19" i="9"/>
  <c r="I19" i="9"/>
  <c r="G46" i="9"/>
  <c r="H46" i="9"/>
  <c r="I46" i="9"/>
  <c r="J46" i="9"/>
  <c r="G313" i="9"/>
  <c r="L313" i="9" s="1"/>
  <c r="I313" i="9"/>
  <c r="H313" i="9"/>
  <c r="I220" i="9"/>
  <c r="J220" i="9"/>
  <c r="H131" i="9"/>
  <c r="I131" i="9"/>
  <c r="I119" i="9"/>
  <c r="G115" i="9"/>
  <c r="G89" i="9"/>
  <c r="G321" i="9"/>
  <c r="J321" i="9"/>
  <c r="H321" i="9"/>
  <c r="I321" i="9"/>
  <c r="G217" i="9"/>
  <c r="I217" i="9"/>
  <c r="H217" i="9"/>
  <c r="J217" i="9"/>
  <c r="G134" i="9"/>
  <c r="H134" i="9"/>
  <c r="J134" i="9"/>
  <c r="J103" i="9"/>
  <c r="L103" i="9" s="1"/>
  <c r="H68" i="9"/>
  <c r="I68" i="9"/>
  <c r="J68" i="9"/>
  <c r="G332" i="9"/>
  <c r="G329" i="9"/>
  <c r="H329" i="9"/>
  <c r="I329" i="9"/>
  <c r="H307" i="9"/>
  <c r="I307" i="9"/>
  <c r="J270" i="9"/>
  <c r="H270" i="9"/>
  <c r="I270" i="9"/>
  <c r="G270" i="9"/>
  <c r="H244" i="9"/>
  <c r="I244" i="9"/>
  <c r="J244" i="9"/>
  <c r="J115" i="9"/>
  <c r="G81" i="9"/>
  <c r="H81" i="9"/>
  <c r="I81" i="9"/>
  <c r="J81" i="9"/>
  <c r="J317" i="9"/>
  <c r="L317" i="9" s="1"/>
  <c r="I310" i="9"/>
  <c r="H284" i="9"/>
  <c r="I262" i="9"/>
  <c r="I247" i="9"/>
  <c r="G225" i="9"/>
  <c r="H225" i="9"/>
  <c r="J225" i="9"/>
  <c r="I225" i="9"/>
  <c r="G214" i="9"/>
  <c r="H214" i="9"/>
  <c r="J214" i="9"/>
  <c r="H310" i="9"/>
  <c r="G284" i="9"/>
  <c r="L284" i="9" s="1"/>
  <c r="G281" i="9"/>
  <c r="H281" i="9"/>
  <c r="I281" i="9"/>
  <c r="H247" i="9"/>
  <c r="L247" i="9" s="1"/>
  <c r="J243" i="9"/>
  <c r="G169" i="9"/>
  <c r="G150" i="9"/>
  <c r="H150" i="9"/>
  <c r="J150" i="9"/>
  <c r="J135" i="9"/>
  <c r="H119" i="9"/>
  <c r="L119" i="9" s="1"/>
  <c r="I108" i="9"/>
  <c r="J185" i="9"/>
  <c r="I169" i="9"/>
  <c r="I137" i="9"/>
  <c r="I105" i="9"/>
  <c r="J204" i="9"/>
  <c r="J188" i="9"/>
  <c r="L188" i="9" s="1"/>
  <c r="H185" i="9"/>
  <c r="J172" i="9"/>
  <c r="H169" i="9"/>
  <c r="J156" i="9"/>
  <c r="H153" i="9"/>
  <c r="J140" i="9"/>
  <c r="H137" i="9"/>
  <c r="J124" i="9"/>
  <c r="H121" i="9"/>
  <c r="J108" i="9"/>
  <c r="H105" i="9"/>
  <c r="J92" i="9"/>
  <c r="H89" i="9"/>
  <c r="J76" i="9"/>
  <c r="H73" i="9"/>
  <c r="J60" i="9"/>
  <c r="H57" i="9"/>
  <c r="L57" i="9" s="1"/>
  <c r="J44" i="9"/>
  <c r="H41" i="9"/>
  <c r="J28" i="9"/>
  <c r="H25" i="9"/>
  <c r="J12" i="9"/>
  <c r="I185" i="9"/>
  <c r="I153" i="9"/>
  <c r="I121" i="9"/>
  <c r="J11" i="9"/>
  <c r="E339" i="10" l="1"/>
  <c r="N341" i="10"/>
  <c r="N336" i="10"/>
  <c r="N339" i="10"/>
  <c r="N337" i="10"/>
  <c r="N338" i="10"/>
  <c r="O10" i="10"/>
  <c r="E338" i="10"/>
  <c r="E341" i="10"/>
  <c r="E340" i="10"/>
  <c r="E336" i="10"/>
  <c r="E337" i="10"/>
  <c r="L302" i="9"/>
  <c r="L30" i="9"/>
  <c r="L273" i="9"/>
  <c r="L332" i="9"/>
  <c r="L238" i="9"/>
  <c r="L222" i="9"/>
  <c r="H337" i="9"/>
  <c r="H336" i="9"/>
  <c r="H339" i="9"/>
  <c r="H340" i="9"/>
  <c r="H338" i="9"/>
  <c r="H341" i="9"/>
  <c r="L14" i="9"/>
  <c r="L214" i="9"/>
  <c r="L116" i="9"/>
  <c r="L252" i="9"/>
  <c r="L195" i="9"/>
  <c r="L294" i="9"/>
  <c r="L38" i="9"/>
  <c r="I337" i="9"/>
  <c r="J341" i="9"/>
  <c r="J338" i="9"/>
  <c r="J339" i="9"/>
  <c r="L148" i="9"/>
  <c r="L329" i="9"/>
  <c r="L65" i="9"/>
  <c r="L281" i="9"/>
  <c r="L51" i="9"/>
  <c r="L20" i="9"/>
  <c r="L70" i="9"/>
  <c r="L28" i="9"/>
  <c r="L100" i="9"/>
  <c r="L185" i="9"/>
  <c r="L62" i="9"/>
  <c r="L180" i="9"/>
  <c r="L230" i="9"/>
  <c r="L179" i="9"/>
  <c r="L236" i="9"/>
  <c r="L166" i="9"/>
  <c r="L142" i="9"/>
  <c r="I340" i="9"/>
  <c r="I336" i="9"/>
  <c r="L262" i="9"/>
  <c r="L150" i="9"/>
  <c r="L169" i="9"/>
  <c r="L249" i="9"/>
  <c r="L86" i="9"/>
  <c r="L97" i="9"/>
  <c r="L132" i="9"/>
  <c r="L94" i="9"/>
  <c r="L257" i="9"/>
  <c r="L22" i="9"/>
  <c r="L78" i="9"/>
  <c r="J336" i="9"/>
  <c r="L174" i="9"/>
  <c r="J340" i="9"/>
  <c r="I341" i="9"/>
  <c r="I339" i="9"/>
  <c r="L206" i="9"/>
  <c r="L254" i="9"/>
  <c r="L310" i="9"/>
  <c r="L307" i="9"/>
  <c r="L46" i="9"/>
  <c r="L19" i="9"/>
  <c r="L278" i="9"/>
  <c r="L12" i="9"/>
  <c r="L303" i="9"/>
  <c r="L134" i="9"/>
  <c r="L241" i="9"/>
  <c r="L17" i="9"/>
  <c r="L275" i="9"/>
  <c r="L110" i="9"/>
  <c r="L217" i="9"/>
  <c r="L334" i="9"/>
  <c r="L292" i="9"/>
  <c r="L289" i="9"/>
  <c r="L129" i="9"/>
  <c r="L41" i="9"/>
  <c r="L118" i="9"/>
  <c r="L76" i="9"/>
  <c r="L102" i="9"/>
  <c r="L54" i="9"/>
  <c r="L89" i="9"/>
  <c r="L243" i="9"/>
  <c r="L198" i="9"/>
  <c r="L115" i="9"/>
  <c r="L297" i="9"/>
  <c r="L81" i="9"/>
  <c r="L276" i="9"/>
  <c r="L201" i="9"/>
  <c r="L49" i="9"/>
  <c r="L225" i="9"/>
  <c r="L44" i="9"/>
  <c r="L182" i="9"/>
  <c r="L246" i="9"/>
  <c r="L145" i="9"/>
  <c r="L321" i="9"/>
  <c r="L316" i="9"/>
  <c r="L124" i="9"/>
  <c r="L193" i="9"/>
  <c r="L92" i="9"/>
  <c r="L126" i="9"/>
  <c r="L105" i="9"/>
  <c r="L113" i="9"/>
  <c r="L25" i="9"/>
  <c r="L209" i="9"/>
  <c r="L233" i="9"/>
  <c r="J337" i="9"/>
  <c r="L11" i="9"/>
  <c r="L108" i="9"/>
  <c r="L286" i="9"/>
  <c r="L158" i="9"/>
  <c r="L199" i="9"/>
  <c r="L326" i="9"/>
  <c r="L318" i="9"/>
  <c r="L121" i="9"/>
  <c r="L270" i="9"/>
  <c r="O338" i="10" l="1"/>
  <c r="O336" i="10"/>
  <c r="O337" i="10"/>
  <c r="O339" i="10"/>
  <c r="J341" i="10"/>
  <c r="J337" i="10"/>
  <c r="J338" i="10"/>
  <c r="J339" i="10"/>
  <c r="J340" i="10"/>
  <c r="J336" i="10"/>
  <c r="Z334" i="9" l="1"/>
  <c r="AA334" i="9" s="1"/>
  <c r="Z332" i="9"/>
  <c r="AA332" i="9" s="1"/>
  <c r="Z331" i="9"/>
  <c r="AA331" i="9" s="1"/>
  <c r="Z330" i="9"/>
  <c r="AA330" i="9" s="1"/>
  <c r="Z329" i="9"/>
  <c r="AA329" i="9" s="1"/>
  <c r="Z328" i="9"/>
  <c r="AA328" i="9" s="1"/>
  <c r="Z327" i="9"/>
  <c r="AA327" i="9" s="1"/>
  <c r="Z326" i="9"/>
  <c r="AA326" i="9" s="1"/>
  <c r="Z325" i="9"/>
  <c r="AA325" i="9" s="1"/>
  <c r="Z324" i="9"/>
  <c r="AA324" i="9" s="1"/>
  <c r="Z323" i="9"/>
  <c r="AA323" i="9" s="1"/>
  <c r="Z322" i="9"/>
  <c r="AA322" i="9" s="1"/>
  <c r="Z321" i="9"/>
  <c r="AA321" i="9" s="1"/>
  <c r="Z320" i="9"/>
  <c r="AA320" i="9" s="1"/>
  <c r="Z319" i="9"/>
  <c r="AA319" i="9" s="1"/>
  <c r="Z318" i="9"/>
  <c r="AA318" i="9" s="1"/>
  <c r="Z316" i="9"/>
  <c r="AA316" i="9" s="1"/>
  <c r="Z315" i="9"/>
  <c r="AA315" i="9" s="1"/>
  <c r="Z314" i="9"/>
  <c r="AA314" i="9" s="1"/>
  <c r="Z313" i="9"/>
  <c r="AA313" i="9" s="1"/>
  <c r="Z312" i="9"/>
  <c r="AA312" i="9" s="1"/>
  <c r="Z311" i="9"/>
  <c r="AA311" i="9" s="1"/>
  <c r="Z310" i="9"/>
  <c r="AA310" i="9" s="1"/>
  <c r="Z309" i="9"/>
  <c r="AA309" i="9" s="1"/>
  <c r="Z308" i="9"/>
  <c r="AA308" i="9" s="1"/>
  <c r="Z307" i="9"/>
  <c r="AA307" i="9" s="1"/>
  <c r="Z306" i="9"/>
  <c r="AA306" i="9" s="1"/>
  <c r="Z305" i="9"/>
  <c r="AA305" i="9" s="1"/>
  <c r="Z304" i="9"/>
  <c r="AA304" i="9" s="1"/>
  <c r="Z303" i="9"/>
  <c r="AA303" i="9" s="1"/>
  <c r="Z302" i="9"/>
  <c r="AA302" i="9" s="1"/>
  <c r="Z300" i="9"/>
  <c r="AA300" i="9" s="1"/>
  <c r="Z299" i="9"/>
  <c r="AA299" i="9" s="1"/>
  <c r="Z298" i="9"/>
  <c r="AA298" i="9" s="1"/>
  <c r="Z297" i="9"/>
  <c r="AA297" i="9" s="1"/>
  <c r="Z296" i="9"/>
  <c r="AA296" i="9" s="1"/>
  <c r="Z294" i="9"/>
  <c r="AA294" i="9" s="1"/>
  <c r="Z292" i="9"/>
  <c r="AA292" i="9" s="1"/>
  <c r="Z291" i="9"/>
  <c r="AA291" i="9" s="1"/>
  <c r="Z290" i="9"/>
  <c r="AA290" i="9" s="1"/>
  <c r="Z289" i="9"/>
  <c r="AA289" i="9" s="1"/>
  <c r="Z288" i="9"/>
  <c r="AA288" i="9" s="1"/>
  <c r="Z287" i="9"/>
  <c r="AA287" i="9" s="1"/>
  <c r="Z286" i="9"/>
  <c r="AA286" i="9" s="1"/>
  <c r="Z284" i="9"/>
  <c r="AA284" i="9" s="1"/>
  <c r="Z283" i="9"/>
  <c r="AA283" i="9" s="1"/>
  <c r="Z281" i="9"/>
  <c r="AA281" i="9" s="1"/>
  <c r="Z278" i="9"/>
  <c r="AA278" i="9" s="1"/>
  <c r="Z276" i="9"/>
  <c r="AA276" i="9" s="1"/>
  <c r="Z275" i="9"/>
  <c r="AA275" i="9" s="1"/>
  <c r="Z274" i="9"/>
  <c r="AA274" i="9" s="1"/>
  <c r="Z273" i="9"/>
  <c r="AA273" i="9" s="1"/>
  <c r="Z272" i="9"/>
  <c r="AA272" i="9" s="1"/>
  <c r="Z271" i="9"/>
  <c r="AA271" i="9" s="1"/>
  <c r="Z270" i="9"/>
  <c r="AA270" i="9" s="1"/>
  <c r="Z268" i="9"/>
  <c r="AA268" i="9" s="1"/>
  <c r="Z267" i="9"/>
  <c r="AA267" i="9" s="1"/>
  <c r="Z265" i="9"/>
  <c r="AA265" i="9" s="1"/>
  <c r="Z262" i="9"/>
  <c r="AA262" i="9" s="1"/>
  <c r="Z260" i="9"/>
  <c r="AA260" i="9" s="1"/>
  <c r="Z259" i="9"/>
  <c r="AA259" i="9" s="1"/>
  <c r="Z258" i="9"/>
  <c r="AA258" i="9" s="1"/>
  <c r="Z257" i="9"/>
  <c r="AA257" i="9" s="1"/>
  <c r="Z256" i="9"/>
  <c r="AA256" i="9" s="1"/>
  <c r="Z255" i="9"/>
  <c r="AA255" i="9" s="1"/>
  <c r="Z254" i="9"/>
  <c r="AA254" i="9" s="1"/>
  <c r="Z252" i="9"/>
  <c r="AA252" i="9" s="1"/>
  <c r="Z246" i="9"/>
  <c r="AA246" i="9" s="1"/>
  <c r="Z245" i="9"/>
  <c r="AA245" i="9" s="1"/>
  <c r="Z244" i="9"/>
  <c r="AA244" i="9" s="1"/>
  <c r="Z243" i="9"/>
  <c r="AA243" i="9" s="1"/>
  <c r="Z242" i="9"/>
  <c r="AA242" i="9" s="1"/>
  <c r="Z241" i="9"/>
  <c r="AA241" i="9" s="1"/>
  <c r="Z240" i="9"/>
  <c r="AA240" i="9" s="1"/>
  <c r="Z239" i="9"/>
  <c r="AA239" i="9" s="1"/>
  <c r="Z238" i="9"/>
  <c r="AA238" i="9" s="1"/>
  <c r="Z236" i="9"/>
  <c r="AA236" i="9" s="1"/>
  <c r="Z235" i="9"/>
  <c r="AA235" i="9" s="1"/>
  <c r="Z232" i="9"/>
  <c r="AA232" i="9" s="1"/>
  <c r="Z231" i="9"/>
  <c r="AA231" i="9" s="1"/>
  <c r="Z229" i="9"/>
  <c r="AA229" i="9" s="1"/>
  <c r="Z228" i="9"/>
  <c r="AA228" i="9" s="1"/>
  <c r="Z227" i="9"/>
  <c r="AA227" i="9" s="1"/>
  <c r="Z224" i="9"/>
  <c r="AA224" i="9" s="1"/>
  <c r="Z223" i="9"/>
  <c r="AA223" i="9" s="1"/>
  <c r="Z222" i="9"/>
  <c r="AA222" i="9" s="1"/>
  <c r="Z220" i="9"/>
  <c r="AA220" i="9" s="1"/>
  <c r="Z214" i="9"/>
  <c r="AA214" i="9" s="1"/>
  <c r="Z213" i="9"/>
  <c r="AA213" i="9" s="1"/>
  <c r="Z212" i="9"/>
  <c r="AA212" i="9" s="1"/>
  <c r="Z211" i="9"/>
  <c r="AA211" i="9" s="1"/>
  <c r="Z209" i="9"/>
  <c r="AA209" i="9" s="1"/>
  <c r="Z208" i="9"/>
  <c r="AA208" i="9" s="1"/>
  <c r="Z207" i="9"/>
  <c r="AA207" i="9" s="1"/>
  <c r="Z206" i="9"/>
  <c r="AA206" i="9" s="1"/>
  <c r="Z204" i="9"/>
  <c r="AA204" i="9" s="1"/>
  <c r="Z203" i="9"/>
  <c r="AA203" i="9" s="1"/>
  <c r="Z199" i="9"/>
  <c r="AA199" i="9" s="1"/>
  <c r="Z198" i="9"/>
  <c r="AA198" i="9" s="1"/>
  <c r="Z197" i="9"/>
  <c r="AA197" i="9" s="1"/>
  <c r="Z196" i="9"/>
  <c r="AA196" i="9" s="1"/>
  <c r="Z195" i="9"/>
  <c r="AA195" i="9" s="1"/>
  <c r="Z194" i="9"/>
  <c r="AA194" i="9" s="1"/>
  <c r="Z192" i="9"/>
  <c r="AA192" i="9" s="1"/>
  <c r="Z191" i="9"/>
  <c r="AA191" i="9" s="1"/>
  <c r="Z190" i="9"/>
  <c r="AA190" i="9" s="1"/>
  <c r="Z187" i="9"/>
  <c r="AA187" i="9" s="1"/>
  <c r="Z181" i="9"/>
  <c r="AA181" i="9" s="1"/>
  <c r="Z180" i="9"/>
  <c r="AA180" i="9" s="1"/>
  <c r="Z179" i="9"/>
  <c r="AA179" i="9" s="1"/>
  <c r="Z176" i="9"/>
  <c r="AA176" i="9" s="1"/>
  <c r="Z175" i="9"/>
  <c r="AA175" i="9" s="1"/>
  <c r="Z174" i="9"/>
  <c r="AA174" i="9" s="1"/>
  <c r="Z173" i="9"/>
  <c r="AA173" i="9" s="1"/>
  <c r="Z172" i="9"/>
  <c r="AA172" i="9" s="1"/>
  <c r="Z171" i="9"/>
  <c r="AA171" i="9" s="1"/>
  <c r="Z170" i="9"/>
  <c r="AA170" i="9" s="1"/>
  <c r="Z167" i="9"/>
  <c r="AA167" i="9" s="1"/>
  <c r="Z166" i="9"/>
  <c r="AA166" i="9" s="1"/>
  <c r="Z164" i="9"/>
  <c r="AA164" i="9" s="1"/>
  <c r="Z163" i="9"/>
  <c r="AA163" i="9" s="1"/>
  <c r="Z162" i="9"/>
  <c r="AA162" i="9" s="1"/>
  <c r="Z160" i="9"/>
  <c r="AA160" i="9" s="1"/>
  <c r="Z159" i="9"/>
  <c r="AA159" i="9" s="1"/>
  <c r="Z158" i="9"/>
  <c r="AA158" i="9" s="1"/>
  <c r="Z157" i="9"/>
  <c r="AA157" i="9" s="1"/>
  <c r="Z156" i="9"/>
  <c r="AA156" i="9" s="1"/>
  <c r="Z153" i="9"/>
  <c r="AA153" i="9" s="1"/>
  <c r="Z149" i="9"/>
  <c r="AA149" i="9" s="1"/>
  <c r="Z148" i="9"/>
  <c r="AA148" i="9" s="1"/>
  <c r="Z146" i="9"/>
  <c r="AA146" i="9" s="1"/>
  <c r="Z145" i="9"/>
  <c r="AA145" i="9" s="1"/>
  <c r="Z143" i="9"/>
  <c r="AA143" i="9" s="1"/>
  <c r="Z142" i="9"/>
  <c r="AA142" i="9" s="1"/>
  <c r="Z140" i="9"/>
  <c r="AA140" i="9" s="1"/>
  <c r="Z139" i="9"/>
  <c r="AA139" i="9" s="1"/>
  <c r="Z138" i="9"/>
  <c r="AA138" i="9" s="1"/>
  <c r="Z137" i="9"/>
  <c r="AA137" i="9" s="1"/>
  <c r="Z136" i="9"/>
  <c r="AA136" i="9" s="1"/>
  <c r="Z135" i="9"/>
  <c r="AA135" i="9" s="1"/>
  <c r="Z134" i="9"/>
  <c r="AA134" i="9" s="1"/>
  <c r="Z133" i="9"/>
  <c r="AA133" i="9" s="1"/>
  <c r="Z132" i="9"/>
  <c r="AA132" i="9" s="1"/>
  <c r="Z131" i="9"/>
  <c r="AA131" i="9" s="1"/>
  <c r="Z130" i="9"/>
  <c r="AA130" i="9" s="1"/>
  <c r="Z129" i="9"/>
  <c r="AA129" i="9" s="1"/>
  <c r="Z128" i="9"/>
  <c r="AA128" i="9" s="1"/>
  <c r="Z126" i="9"/>
  <c r="AA126" i="9" s="1"/>
  <c r="Z124" i="9"/>
  <c r="AA124" i="9" s="1"/>
  <c r="Z122" i="9"/>
  <c r="AA122" i="9" s="1"/>
  <c r="Z121" i="9"/>
  <c r="AA121" i="9" s="1"/>
  <c r="Z115" i="9"/>
  <c r="AA115" i="9" s="1"/>
  <c r="Z114" i="9"/>
  <c r="AA114" i="9" s="1"/>
  <c r="Z113" i="9"/>
  <c r="AA113" i="9" s="1"/>
  <c r="Z112" i="9"/>
  <c r="AA112" i="9" s="1"/>
  <c r="Z111" i="9"/>
  <c r="AA111" i="9" s="1"/>
  <c r="Z110" i="9"/>
  <c r="AA110" i="9" s="1"/>
  <c r="Z109" i="9"/>
  <c r="AA109" i="9" s="1"/>
  <c r="Z108" i="9"/>
  <c r="AA108" i="9" s="1"/>
  <c r="Z106" i="9"/>
  <c r="AA106" i="9" s="1"/>
  <c r="Z105" i="9"/>
  <c r="AA105" i="9" s="1"/>
  <c r="Z104" i="9"/>
  <c r="AA104" i="9" s="1"/>
  <c r="Z103" i="9"/>
  <c r="AA103" i="9" s="1"/>
  <c r="Z102" i="9"/>
  <c r="AA102" i="9" s="1"/>
  <c r="Z101" i="9"/>
  <c r="AA101" i="9" s="1"/>
  <c r="Z99" i="9"/>
  <c r="AA99" i="9" s="1"/>
  <c r="Z97" i="9"/>
  <c r="AA97" i="9" s="1"/>
  <c r="Z92" i="9"/>
  <c r="AA92" i="9" s="1"/>
  <c r="Z89" i="9"/>
  <c r="AA89" i="9" s="1"/>
  <c r="Z88" i="9"/>
  <c r="AA88" i="9" s="1"/>
  <c r="Z86" i="9"/>
  <c r="AA86" i="9" s="1"/>
  <c r="Z85" i="9"/>
  <c r="AA85" i="9" s="1"/>
  <c r="Z84" i="9"/>
  <c r="AA84" i="9" s="1"/>
  <c r="Z82" i="9"/>
  <c r="AA82" i="9" s="1"/>
  <c r="Z81" i="9"/>
  <c r="AA81" i="9" s="1"/>
  <c r="Z80" i="9"/>
  <c r="AA80" i="9" s="1"/>
  <c r="Z79" i="9"/>
  <c r="AA79" i="9" s="1"/>
  <c r="Z77" i="9"/>
  <c r="AA77" i="9" s="1"/>
  <c r="Z76" i="9"/>
  <c r="AA76" i="9" s="1"/>
  <c r="Z73" i="9"/>
  <c r="AA73" i="9" s="1"/>
  <c r="Z72" i="9"/>
  <c r="AA72" i="9" s="1"/>
  <c r="Z71" i="9"/>
  <c r="AA71" i="9" s="1"/>
  <c r="Z70" i="9"/>
  <c r="AA70" i="9" s="1"/>
  <c r="Z69" i="9"/>
  <c r="AA69" i="9" s="1"/>
  <c r="Z67" i="9"/>
  <c r="AA67" i="9" s="1"/>
  <c r="Z66" i="9"/>
  <c r="AA66" i="9" s="1"/>
  <c r="Z63" i="9"/>
  <c r="AA63" i="9" s="1"/>
  <c r="Z62" i="9"/>
  <c r="AA62" i="9" s="1"/>
  <c r="Z61" i="9"/>
  <c r="AA61" i="9" s="1"/>
  <c r="Z60" i="9"/>
  <c r="AA60" i="9" s="1"/>
  <c r="Z58" i="9"/>
  <c r="AA58" i="9" s="1"/>
  <c r="Z56" i="9"/>
  <c r="AA56" i="9" s="1"/>
  <c r="Z55" i="9"/>
  <c r="AA55" i="9" s="1"/>
  <c r="Z54" i="9"/>
  <c r="AA54" i="9" s="1"/>
  <c r="Z53" i="9"/>
  <c r="AA53" i="9" s="1"/>
  <c r="Z52" i="9"/>
  <c r="AA52" i="9" s="1"/>
  <c r="Z51" i="9"/>
  <c r="AA51" i="9" s="1"/>
  <c r="Z50" i="9"/>
  <c r="AA50" i="9" s="1"/>
  <c r="Z48" i="9"/>
  <c r="AA48" i="9" s="1"/>
  <c r="Z45" i="9"/>
  <c r="AA45" i="9" s="1"/>
  <c r="Z44" i="9"/>
  <c r="AA44" i="9" s="1"/>
  <c r="Z43" i="9"/>
  <c r="AA43" i="9" s="1"/>
  <c r="Z40" i="9"/>
  <c r="AA40" i="9" s="1"/>
  <c r="Z39" i="9"/>
  <c r="AA39" i="9" s="1"/>
  <c r="Z38" i="9"/>
  <c r="AA38" i="9" s="1"/>
  <c r="Z37" i="9"/>
  <c r="AA37" i="9" s="1"/>
  <c r="Z36" i="9"/>
  <c r="AA36" i="9" s="1"/>
  <c r="Z35" i="9"/>
  <c r="AA35" i="9" s="1"/>
  <c r="Z34" i="9"/>
  <c r="AA34" i="9" s="1"/>
  <c r="Z33" i="9"/>
  <c r="AA33" i="9" s="1"/>
  <c r="Z32" i="9"/>
  <c r="AA32" i="9" s="1"/>
  <c r="Z31" i="9"/>
  <c r="AA31" i="9" s="1"/>
  <c r="Z29" i="9"/>
  <c r="AA29" i="9" s="1"/>
  <c r="Z28" i="9"/>
  <c r="AA28" i="9" s="1"/>
  <c r="Z27" i="9"/>
  <c r="AA27" i="9" s="1"/>
  <c r="Z26" i="9"/>
  <c r="AA26" i="9" s="1"/>
  <c r="Z24" i="9"/>
  <c r="AA24" i="9" s="1"/>
  <c r="Z22" i="9"/>
  <c r="AA22" i="9" s="1"/>
  <c r="Z21" i="9"/>
  <c r="AA21" i="9" s="1"/>
  <c r="Z17" i="9"/>
  <c r="AA17" i="9" s="1"/>
  <c r="Z16" i="9"/>
  <c r="AA16" i="9" s="1"/>
  <c r="Z15" i="9"/>
  <c r="AA15" i="9" s="1"/>
  <c r="Z14" i="9"/>
  <c r="AA14" i="9" s="1"/>
  <c r="Z11" i="9"/>
  <c r="E6" i="9"/>
  <c r="B6" i="9"/>
  <c r="Q41" i="9" l="1"/>
  <c r="U41" i="9" s="1"/>
  <c r="Q73" i="9"/>
  <c r="U73" i="9" s="1"/>
  <c r="Q105" i="9"/>
  <c r="U105" i="9" s="1"/>
  <c r="Q137" i="9"/>
  <c r="U137" i="9" s="1"/>
  <c r="Q169" i="9"/>
  <c r="U169" i="9" s="1"/>
  <c r="Q201" i="9"/>
  <c r="U201" i="9" s="1"/>
  <c r="Q233" i="9"/>
  <c r="U233" i="9" s="1"/>
  <c r="Q42" i="9"/>
  <c r="U42" i="9" s="1"/>
  <c r="Q74" i="9"/>
  <c r="U74" i="9" s="1"/>
  <c r="Q106" i="9"/>
  <c r="U106" i="9" s="1"/>
  <c r="Q138" i="9"/>
  <c r="U138" i="9" s="1"/>
  <c r="Q170" i="9"/>
  <c r="U170" i="9" s="1"/>
  <c r="Q202" i="9"/>
  <c r="U202" i="9" s="1"/>
  <c r="Q234" i="9"/>
  <c r="U234" i="9" s="1"/>
  <c r="Q13" i="9"/>
  <c r="U13" i="9" s="1"/>
  <c r="Q45" i="9"/>
  <c r="U45" i="9" s="1"/>
  <c r="Q77" i="9"/>
  <c r="U77" i="9" s="1"/>
  <c r="Q109" i="9"/>
  <c r="U109" i="9" s="1"/>
  <c r="Q141" i="9"/>
  <c r="U141" i="9" s="1"/>
  <c r="Q173" i="9"/>
  <c r="U173" i="9" s="1"/>
  <c r="Q205" i="9"/>
  <c r="U205" i="9" s="1"/>
  <c r="Q237" i="9"/>
  <c r="U237" i="9" s="1"/>
  <c r="Q11" i="9"/>
  <c r="U11" i="9" s="1"/>
  <c r="Q47" i="9"/>
  <c r="U47" i="9" s="1"/>
  <c r="Q82" i="9"/>
  <c r="U82" i="9" s="1"/>
  <c r="Q117" i="9"/>
  <c r="U117" i="9" s="1"/>
  <c r="Q152" i="9"/>
  <c r="U152" i="9" s="1"/>
  <c r="Q187" i="9"/>
  <c r="U187" i="9" s="1"/>
  <c r="Q222" i="9"/>
  <c r="U222" i="9" s="1"/>
  <c r="Q257" i="9"/>
  <c r="U257" i="9" s="1"/>
  <c r="Q289" i="9"/>
  <c r="U289" i="9" s="1"/>
  <c r="Q321" i="9"/>
  <c r="U321" i="9" s="1"/>
  <c r="Q18" i="9"/>
  <c r="U18" i="9" s="1"/>
  <c r="Q53" i="9"/>
  <c r="U53" i="9" s="1"/>
  <c r="Q88" i="9"/>
  <c r="U88" i="9" s="1"/>
  <c r="Q123" i="9"/>
  <c r="U123" i="9" s="1"/>
  <c r="Q158" i="9"/>
  <c r="U158" i="9" s="1"/>
  <c r="Q193" i="9"/>
  <c r="U193" i="9" s="1"/>
  <c r="Q228" i="9"/>
  <c r="U228" i="9" s="1"/>
  <c r="Q263" i="9"/>
  <c r="U263" i="9" s="1"/>
  <c r="Q295" i="9"/>
  <c r="U295" i="9" s="1"/>
  <c r="Q327" i="9"/>
  <c r="U327" i="9" s="1"/>
  <c r="Q34" i="9"/>
  <c r="U34" i="9" s="1"/>
  <c r="Q69" i="9"/>
  <c r="U69" i="9" s="1"/>
  <c r="Q104" i="9"/>
  <c r="U104" i="9" s="1"/>
  <c r="Q142" i="9"/>
  <c r="U142" i="9" s="1"/>
  <c r="Q177" i="9"/>
  <c r="U177" i="9" s="1"/>
  <c r="Q212" i="9"/>
  <c r="U212" i="9" s="1"/>
  <c r="Q247" i="9"/>
  <c r="U247" i="9" s="1"/>
  <c r="Q279" i="9"/>
  <c r="U279" i="9" s="1"/>
  <c r="Q311" i="9"/>
  <c r="U311" i="9" s="1"/>
  <c r="Q25" i="9"/>
  <c r="U25" i="9" s="1"/>
  <c r="Q63" i="9"/>
  <c r="U63" i="9" s="1"/>
  <c r="Q101" i="9"/>
  <c r="U101" i="9" s="1"/>
  <c r="Q143" i="9"/>
  <c r="U143" i="9" s="1"/>
  <c r="Q181" i="9"/>
  <c r="U181" i="9" s="1"/>
  <c r="Q219" i="9"/>
  <c r="U219" i="9" s="1"/>
  <c r="Q258" i="9"/>
  <c r="U258" i="9" s="1"/>
  <c r="Q293" i="9"/>
  <c r="U293" i="9" s="1"/>
  <c r="Q329" i="9"/>
  <c r="U329" i="9" s="1"/>
  <c r="Q26" i="9"/>
  <c r="U26" i="9" s="1"/>
  <c r="Q64" i="9"/>
  <c r="U64" i="9" s="1"/>
  <c r="Q102" i="9"/>
  <c r="U102" i="9" s="1"/>
  <c r="Q144" i="9"/>
  <c r="U144" i="9" s="1"/>
  <c r="Q182" i="9"/>
  <c r="U182" i="9" s="1"/>
  <c r="Q220" i="9"/>
  <c r="U220" i="9" s="1"/>
  <c r="Q259" i="9"/>
  <c r="U259" i="9" s="1"/>
  <c r="Q294" i="9"/>
  <c r="U294" i="9" s="1"/>
  <c r="Q330" i="9"/>
  <c r="U330" i="9" s="1"/>
  <c r="Q27" i="9"/>
  <c r="U27" i="9" s="1"/>
  <c r="Q65" i="9"/>
  <c r="U65" i="9" s="1"/>
  <c r="Q103" i="9"/>
  <c r="U103" i="9" s="1"/>
  <c r="Q145" i="9"/>
  <c r="U145" i="9" s="1"/>
  <c r="Q183" i="9"/>
  <c r="U183" i="9" s="1"/>
  <c r="Q221" i="9"/>
  <c r="U221" i="9" s="1"/>
  <c r="Q260" i="9"/>
  <c r="U260" i="9" s="1"/>
  <c r="Q296" i="9"/>
  <c r="U296" i="9" s="1"/>
  <c r="Q331" i="9"/>
  <c r="U331" i="9" s="1"/>
  <c r="Q28" i="9"/>
  <c r="U28" i="9" s="1"/>
  <c r="Q66" i="9"/>
  <c r="U66" i="9" s="1"/>
  <c r="Q107" i="9"/>
  <c r="U107" i="9" s="1"/>
  <c r="Q146" i="9"/>
  <c r="U146" i="9" s="1"/>
  <c r="Q184" i="9"/>
  <c r="U184" i="9" s="1"/>
  <c r="Q223" i="9"/>
  <c r="U223" i="9" s="1"/>
  <c r="Q261" i="9"/>
  <c r="U261" i="9" s="1"/>
  <c r="Q297" i="9"/>
  <c r="U297" i="9" s="1"/>
  <c r="Q332" i="9"/>
  <c r="U332" i="9" s="1"/>
  <c r="Q29" i="9"/>
  <c r="U29" i="9" s="1"/>
  <c r="Q67" i="9"/>
  <c r="U67" i="9" s="1"/>
  <c r="Q108" i="9"/>
  <c r="U108" i="9" s="1"/>
  <c r="Q147" i="9"/>
  <c r="U147" i="9" s="1"/>
  <c r="Q185" i="9"/>
  <c r="U185" i="9" s="1"/>
  <c r="Q224" i="9"/>
  <c r="U224" i="9" s="1"/>
  <c r="Q262" i="9"/>
  <c r="U262" i="9" s="1"/>
  <c r="Q298" i="9"/>
  <c r="U298" i="9" s="1"/>
  <c r="Q333" i="9"/>
  <c r="U333" i="9" s="1"/>
  <c r="Q30" i="9"/>
  <c r="U30" i="9" s="1"/>
  <c r="Q68" i="9"/>
  <c r="U68" i="9" s="1"/>
  <c r="Q110" i="9"/>
  <c r="U110" i="9" s="1"/>
  <c r="Q148" i="9"/>
  <c r="U148" i="9" s="1"/>
  <c r="Q186" i="9"/>
  <c r="U186" i="9" s="1"/>
  <c r="Q225" i="9"/>
  <c r="U225" i="9" s="1"/>
  <c r="Q264" i="9"/>
  <c r="U264" i="9" s="1"/>
  <c r="Q299" i="9"/>
  <c r="U299" i="9" s="1"/>
  <c r="Q334" i="9"/>
  <c r="U334" i="9" s="1"/>
  <c r="Q31" i="9"/>
  <c r="U31" i="9" s="1"/>
  <c r="Q70" i="9"/>
  <c r="U70" i="9" s="1"/>
  <c r="Q111" i="9"/>
  <c r="U111" i="9" s="1"/>
  <c r="Q149" i="9"/>
  <c r="U149" i="9" s="1"/>
  <c r="Q188" i="9"/>
  <c r="U188" i="9" s="1"/>
  <c r="Q226" i="9"/>
  <c r="U226" i="9" s="1"/>
  <c r="Q265" i="9"/>
  <c r="U265" i="9" s="1"/>
  <c r="Q300" i="9"/>
  <c r="U300" i="9" s="1"/>
  <c r="Q10" i="9"/>
  <c r="Q32" i="9"/>
  <c r="U32" i="9" s="1"/>
  <c r="Q71" i="9"/>
  <c r="U71" i="9" s="1"/>
  <c r="Q112" i="9"/>
  <c r="U112" i="9" s="1"/>
  <c r="Q150" i="9"/>
  <c r="U150" i="9" s="1"/>
  <c r="Q189" i="9"/>
  <c r="U189" i="9" s="1"/>
  <c r="Q227" i="9"/>
  <c r="U227" i="9" s="1"/>
  <c r="Q266" i="9"/>
  <c r="U266" i="9" s="1"/>
  <c r="Q301" i="9"/>
  <c r="U301" i="9" s="1"/>
  <c r="Q33" i="9"/>
  <c r="U33" i="9" s="1"/>
  <c r="Q72" i="9"/>
  <c r="U72" i="9" s="1"/>
  <c r="Q113" i="9"/>
  <c r="U113" i="9" s="1"/>
  <c r="Q151" i="9"/>
  <c r="U151" i="9" s="1"/>
  <c r="Q190" i="9"/>
  <c r="U190" i="9" s="1"/>
  <c r="Q229" i="9"/>
  <c r="U229" i="9" s="1"/>
  <c r="Q267" i="9"/>
  <c r="U267" i="9" s="1"/>
  <c r="Q302" i="9"/>
  <c r="U302" i="9" s="1"/>
  <c r="Q35" i="9"/>
  <c r="U35" i="9" s="1"/>
  <c r="Q75" i="9"/>
  <c r="U75" i="9" s="1"/>
  <c r="Q114" i="9"/>
  <c r="U114" i="9" s="1"/>
  <c r="Q153" i="9"/>
  <c r="U153" i="9" s="1"/>
  <c r="Q191" i="9"/>
  <c r="U191" i="9" s="1"/>
  <c r="Q230" i="9"/>
  <c r="U230" i="9" s="1"/>
  <c r="Q268" i="9"/>
  <c r="U268" i="9" s="1"/>
  <c r="Q303" i="9"/>
  <c r="U303" i="9" s="1"/>
  <c r="Q43" i="9"/>
  <c r="U43" i="9" s="1"/>
  <c r="Q83" i="9"/>
  <c r="U83" i="9" s="1"/>
  <c r="Q121" i="9"/>
  <c r="U121" i="9" s="1"/>
  <c r="Q160" i="9"/>
  <c r="U160" i="9" s="1"/>
  <c r="Q198" i="9"/>
  <c r="U198" i="9" s="1"/>
  <c r="Q239" i="9"/>
  <c r="U239" i="9" s="1"/>
  <c r="Q274" i="9"/>
  <c r="U274" i="9" s="1"/>
  <c r="Q14" i="9"/>
  <c r="U14" i="9" s="1"/>
  <c r="Q52" i="9"/>
  <c r="U52" i="9" s="1"/>
  <c r="Q91" i="9"/>
  <c r="U91" i="9" s="1"/>
  <c r="Q129" i="9"/>
  <c r="U129" i="9" s="1"/>
  <c r="Q167" i="9"/>
  <c r="U167" i="9" s="1"/>
  <c r="Q208" i="9"/>
  <c r="U208" i="9" s="1"/>
  <c r="Q246" i="9"/>
  <c r="U246" i="9" s="1"/>
  <c r="Q282" i="9"/>
  <c r="U282" i="9" s="1"/>
  <c r="Q317" i="9"/>
  <c r="U317" i="9" s="1"/>
  <c r="Q54" i="9"/>
  <c r="U54" i="9" s="1"/>
  <c r="Q119" i="9"/>
  <c r="U119" i="9" s="1"/>
  <c r="Q175" i="9"/>
  <c r="U175" i="9" s="1"/>
  <c r="Q242" i="9"/>
  <c r="U242" i="9" s="1"/>
  <c r="Q292" i="9"/>
  <c r="U292" i="9" s="1"/>
  <c r="Q55" i="9"/>
  <c r="U55" i="9" s="1"/>
  <c r="Q120" i="9"/>
  <c r="U120" i="9" s="1"/>
  <c r="Q176" i="9"/>
  <c r="U176" i="9" s="1"/>
  <c r="Q243" i="9"/>
  <c r="U243" i="9" s="1"/>
  <c r="Q304" i="9"/>
  <c r="U304" i="9" s="1"/>
  <c r="Q56" i="9"/>
  <c r="U56" i="9" s="1"/>
  <c r="Q122" i="9"/>
  <c r="U122" i="9" s="1"/>
  <c r="Q178" i="9"/>
  <c r="U178" i="9" s="1"/>
  <c r="Q244" i="9"/>
  <c r="U244" i="9" s="1"/>
  <c r="Q305" i="9"/>
  <c r="U305" i="9" s="1"/>
  <c r="Q57" i="9"/>
  <c r="U57" i="9" s="1"/>
  <c r="Q124" i="9"/>
  <c r="U124" i="9" s="1"/>
  <c r="Q179" i="9"/>
  <c r="U179" i="9" s="1"/>
  <c r="Q245" i="9"/>
  <c r="U245" i="9" s="1"/>
  <c r="Q306" i="9"/>
  <c r="U306" i="9" s="1"/>
  <c r="Q276" i="9"/>
  <c r="U276" i="9" s="1"/>
  <c r="Q58" i="9"/>
  <c r="U58" i="9" s="1"/>
  <c r="Q125" i="9"/>
  <c r="U125" i="9" s="1"/>
  <c r="Q180" i="9"/>
  <c r="U180" i="9" s="1"/>
  <c r="Q248" i="9"/>
  <c r="U248" i="9" s="1"/>
  <c r="Q307" i="9"/>
  <c r="U307" i="9" s="1"/>
  <c r="Q59" i="9"/>
  <c r="U59" i="9" s="1"/>
  <c r="Q126" i="9"/>
  <c r="U126" i="9" s="1"/>
  <c r="Q192" i="9"/>
  <c r="U192" i="9" s="1"/>
  <c r="Q249" i="9"/>
  <c r="U249" i="9" s="1"/>
  <c r="Q308" i="9"/>
  <c r="U308" i="9" s="1"/>
  <c r="Q157" i="9"/>
  <c r="U157" i="9" s="1"/>
  <c r="Q60" i="9"/>
  <c r="U60" i="9" s="1"/>
  <c r="Q127" i="9"/>
  <c r="U127" i="9" s="1"/>
  <c r="Q194" i="9"/>
  <c r="U194" i="9" s="1"/>
  <c r="Q250" i="9"/>
  <c r="U250" i="9" s="1"/>
  <c r="Q309" i="9"/>
  <c r="U309" i="9" s="1"/>
  <c r="Q61" i="9"/>
  <c r="U61" i="9" s="1"/>
  <c r="Q128" i="9"/>
  <c r="U128" i="9" s="1"/>
  <c r="Q195" i="9"/>
  <c r="U195" i="9" s="1"/>
  <c r="Q251" i="9"/>
  <c r="U251" i="9" s="1"/>
  <c r="Q310" i="9"/>
  <c r="U310" i="9" s="1"/>
  <c r="Q62" i="9"/>
  <c r="U62" i="9" s="1"/>
  <c r="Q130" i="9"/>
  <c r="U130" i="9" s="1"/>
  <c r="Q196" i="9"/>
  <c r="U196" i="9" s="1"/>
  <c r="Q252" i="9"/>
  <c r="U252" i="9" s="1"/>
  <c r="Q312" i="9"/>
  <c r="U312" i="9" s="1"/>
  <c r="Q214" i="9"/>
  <c r="U214" i="9" s="1"/>
  <c r="Q76" i="9"/>
  <c r="U76" i="9" s="1"/>
  <c r="Q131" i="9"/>
  <c r="U131" i="9" s="1"/>
  <c r="Q197" i="9"/>
  <c r="U197" i="9" s="1"/>
  <c r="Q253" i="9"/>
  <c r="U253" i="9" s="1"/>
  <c r="Q313" i="9"/>
  <c r="U313" i="9" s="1"/>
  <c r="Q78" i="9"/>
  <c r="U78" i="9" s="1"/>
  <c r="Q132" i="9"/>
  <c r="U132" i="9" s="1"/>
  <c r="Q199" i="9"/>
  <c r="U199" i="9" s="1"/>
  <c r="Q254" i="9"/>
  <c r="U254" i="9" s="1"/>
  <c r="Q314" i="9"/>
  <c r="U314" i="9" s="1"/>
  <c r="Q15" i="9"/>
  <c r="U15" i="9" s="1"/>
  <c r="Q12" i="9"/>
  <c r="U12" i="9" s="1"/>
  <c r="Q79" i="9"/>
  <c r="U79" i="9" s="1"/>
  <c r="Q133" i="9"/>
  <c r="U133" i="9" s="1"/>
  <c r="Q200" i="9"/>
  <c r="U200" i="9" s="1"/>
  <c r="Q255" i="9"/>
  <c r="U255" i="9" s="1"/>
  <c r="Q315" i="9"/>
  <c r="U315" i="9" s="1"/>
  <c r="Q80" i="9"/>
  <c r="U80" i="9" s="1"/>
  <c r="Q134" i="9"/>
  <c r="U134" i="9" s="1"/>
  <c r="Q203" i="9"/>
  <c r="U203" i="9" s="1"/>
  <c r="Q256" i="9"/>
  <c r="U256" i="9" s="1"/>
  <c r="Q316" i="9"/>
  <c r="U316" i="9" s="1"/>
  <c r="Q326" i="9"/>
  <c r="U326" i="9" s="1"/>
  <c r="Q16" i="9"/>
  <c r="U16" i="9" s="1"/>
  <c r="Q81" i="9"/>
  <c r="U81" i="9" s="1"/>
  <c r="Q135" i="9"/>
  <c r="U135" i="9" s="1"/>
  <c r="Q204" i="9"/>
  <c r="U204" i="9" s="1"/>
  <c r="Q269" i="9"/>
  <c r="U269" i="9" s="1"/>
  <c r="Q318" i="9"/>
  <c r="U318" i="9" s="1"/>
  <c r="Q22" i="9"/>
  <c r="U22" i="9" s="1"/>
  <c r="Q24" i="9"/>
  <c r="U24" i="9" s="1"/>
  <c r="Q17" i="9"/>
  <c r="U17" i="9" s="1"/>
  <c r="Q84" i="9"/>
  <c r="U84" i="9" s="1"/>
  <c r="Q136" i="9"/>
  <c r="U136" i="9" s="1"/>
  <c r="Q206" i="9"/>
  <c r="U206" i="9" s="1"/>
  <c r="Q270" i="9"/>
  <c r="U270" i="9" s="1"/>
  <c r="Q319" i="9"/>
  <c r="U319" i="9" s="1"/>
  <c r="Q19" i="9"/>
  <c r="U19" i="9" s="1"/>
  <c r="Q85" i="9"/>
  <c r="U85" i="9" s="1"/>
  <c r="Q139" i="9"/>
  <c r="U139" i="9" s="1"/>
  <c r="Q207" i="9"/>
  <c r="U207" i="9" s="1"/>
  <c r="Q271" i="9"/>
  <c r="U271" i="9" s="1"/>
  <c r="Q320" i="9"/>
  <c r="U320" i="9" s="1"/>
  <c r="Q155" i="9"/>
  <c r="U155" i="9" s="1"/>
  <c r="Q324" i="9"/>
  <c r="U324" i="9" s="1"/>
  <c r="Q213" i="9"/>
  <c r="U213" i="9" s="1"/>
  <c r="Q20" i="9"/>
  <c r="U20" i="9" s="1"/>
  <c r="Q86" i="9"/>
  <c r="U86" i="9" s="1"/>
  <c r="Q140" i="9"/>
  <c r="U140" i="9" s="1"/>
  <c r="Q209" i="9"/>
  <c r="U209" i="9" s="1"/>
  <c r="Q272" i="9"/>
  <c r="U272" i="9" s="1"/>
  <c r="Q322" i="9"/>
  <c r="U322" i="9" s="1"/>
  <c r="Q211" i="9"/>
  <c r="U211" i="9" s="1"/>
  <c r="Q156" i="9"/>
  <c r="U156" i="9" s="1"/>
  <c r="Q21" i="9"/>
  <c r="U21" i="9" s="1"/>
  <c r="Q87" i="9"/>
  <c r="U87" i="9" s="1"/>
  <c r="Q154" i="9"/>
  <c r="U154" i="9" s="1"/>
  <c r="Q210" i="9"/>
  <c r="U210" i="9" s="1"/>
  <c r="Q273" i="9"/>
  <c r="U273" i="9" s="1"/>
  <c r="Q323" i="9"/>
  <c r="U323" i="9" s="1"/>
  <c r="Q89" i="9"/>
  <c r="U89" i="9" s="1"/>
  <c r="Q90" i="9"/>
  <c r="U90" i="9" s="1"/>
  <c r="Q325" i="9"/>
  <c r="U325" i="9" s="1"/>
  <c r="Q277" i="9"/>
  <c r="U277" i="9" s="1"/>
  <c r="Q275" i="9"/>
  <c r="U275" i="9" s="1"/>
  <c r="Q23" i="9"/>
  <c r="U23" i="9" s="1"/>
  <c r="Q92" i="9"/>
  <c r="U92" i="9" s="1"/>
  <c r="Q37" i="9"/>
  <c r="U37" i="9" s="1"/>
  <c r="Q94" i="9"/>
  <c r="U94" i="9" s="1"/>
  <c r="Q161" i="9"/>
  <c r="U161" i="9" s="1"/>
  <c r="Q216" i="9"/>
  <c r="U216" i="9" s="1"/>
  <c r="Q280" i="9"/>
  <c r="U280" i="9" s="1"/>
  <c r="Q38" i="9"/>
  <c r="U38" i="9" s="1"/>
  <c r="Q95" i="9"/>
  <c r="U95" i="9" s="1"/>
  <c r="Q162" i="9"/>
  <c r="U162" i="9" s="1"/>
  <c r="Q217" i="9"/>
  <c r="U217" i="9" s="1"/>
  <c r="Q281" i="9"/>
  <c r="U281" i="9" s="1"/>
  <c r="Q39" i="9"/>
  <c r="U39" i="9" s="1"/>
  <c r="Q96" i="9"/>
  <c r="U96" i="9" s="1"/>
  <c r="Q163" i="9"/>
  <c r="U163" i="9" s="1"/>
  <c r="Q218" i="9"/>
  <c r="U218" i="9" s="1"/>
  <c r="Q283" i="9"/>
  <c r="U283" i="9" s="1"/>
  <c r="Q40" i="9"/>
  <c r="U40" i="9" s="1"/>
  <c r="Q97" i="9"/>
  <c r="U97" i="9" s="1"/>
  <c r="Q164" i="9"/>
  <c r="U164" i="9" s="1"/>
  <c r="Q231" i="9"/>
  <c r="U231" i="9" s="1"/>
  <c r="Q284" i="9"/>
  <c r="U284" i="9" s="1"/>
  <c r="Q46" i="9"/>
  <c r="U46" i="9" s="1"/>
  <c r="Q166" i="9"/>
  <c r="U166" i="9" s="1"/>
  <c r="Q235" i="9"/>
  <c r="U235" i="9" s="1"/>
  <c r="Q286" i="9"/>
  <c r="U286" i="9" s="1"/>
  <c r="Q44" i="9"/>
  <c r="U44" i="9" s="1"/>
  <c r="Q98" i="9"/>
  <c r="U98" i="9" s="1"/>
  <c r="Q165" i="9"/>
  <c r="U165" i="9" s="1"/>
  <c r="Q232" i="9"/>
  <c r="U232" i="9" s="1"/>
  <c r="Q285" i="9"/>
  <c r="U285" i="9" s="1"/>
  <c r="Q99" i="9"/>
  <c r="U99" i="9" s="1"/>
  <c r="Q328" i="9"/>
  <c r="U328" i="9" s="1"/>
  <c r="Q116" i="9"/>
  <c r="U116" i="9" s="1"/>
  <c r="Q118" i="9"/>
  <c r="U118" i="9" s="1"/>
  <c r="Q290" i="9"/>
  <c r="U290" i="9" s="1"/>
  <c r="Q93" i="9"/>
  <c r="U93" i="9" s="1"/>
  <c r="Q115" i="9"/>
  <c r="U115" i="9" s="1"/>
  <c r="Q159" i="9"/>
  <c r="U159" i="9" s="1"/>
  <c r="Q51" i="9"/>
  <c r="U51" i="9" s="1"/>
  <c r="Q168" i="9"/>
  <c r="U168" i="9" s="1"/>
  <c r="Q36" i="9"/>
  <c r="U36" i="9" s="1"/>
  <c r="Q48" i="9"/>
  <c r="U48" i="9" s="1"/>
  <c r="Q49" i="9"/>
  <c r="U49" i="9" s="1"/>
  <c r="Q50" i="9"/>
  <c r="U50" i="9" s="1"/>
  <c r="Q100" i="9"/>
  <c r="U100" i="9" s="1"/>
  <c r="Q291" i="9"/>
  <c r="U291" i="9" s="1"/>
  <c r="Q171" i="9"/>
  <c r="U171" i="9" s="1"/>
  <c r="Q174" i="9"/>
  <c r="U174" i="9" s="1"/>
  <c r="Q287" i="9"/>
  <c r="U287" i="9" s="1"/>
  <c r="Q288" i="9"/>
  <c r="U288" i="9" s="1"/>
  <c r="Q172" i="9"/>
  <c r="U172" i="9" s="1"/>
  <c r="Q215" i="9"/>
  <c r="U215" i="9" s="1"/>
  <c r="Q236" i="9"/>
  <c r="U236" i="9" s="1"/>
  <c r="Q238" i="9"/>
  <c r="U238" i="9" s="1"/>
  <c r="Q240" i="9"/>
  <c r="U240" i="9" s="1"/>
  <c r="Q278" i="9"/>
  <c r="U278" i="9" s="1"/>
  <c r="Q241" i="9"/>
  <c r="U241" i="9" s="1"/>
  <c r="AA11" i="9"/>
  <c r="O11" i="9"/>
  <c r="S11" i="9" s="1"/>
  <c r="O19" i="9"/>
  <c r="S19" i="9" s="1"/>
  <c r="O27" i="9"/>
  <c r="S27" i="9" s="1"/>
  <c r="O35" i="9"/>
  <c r="S35" i="9" s="1"/>
  <c r="O43" i="9"/>
  <c r="S43" i="9" s="1"/>
  <c r="O51" i="9"/>
  <c r="S51" i="9" s="1"/>
  <c r="O59" i="9"/>
  <c r="S59" i="9" s="1"/>
  <c r="O67" i="9"/>
  <c r="S67" i="9" s="1"/>
  <c r="O75" i="9"/>
  <c r="S75" i="9" s="1"/>
  <c r="O83" i="9"/>
  <c r="S83" i="9" s="1"/>
  <c r="O91" i="9"/>
  <c r="S91" i="9" s="1"/>
  <c r="O99" i="9"/>
  <c r="S99" i="9" s="1"/>
  <c r="O107" i="9"/>
  <c r="S107" i="9" s="1"/>
  <c r="O115" i="9"/>
  <c r="S115" i="9" s="1"/>
  <c r="O123" i="9"/>
  <c r="S123" i="9" s="1"/>
  <c r="O131" i="9"/>
  <c r="S131" i="9" s="1"/>
  <c r="O139" i="9"/>
  <c r="S139" i="9" s="1"/>
  <c r="O147" i="9"/>
  <c r="S147" i="9" s="1"/>
  <c r="O155" i="9"/>
  <c r="S155" i="9" s="1"/>
  <c r="O163" i="9"/>
  <c r="S163" i="9" s="1"/>
  <c r="O171" i="9"/>
  <c r="S171" i="9" s="1"/>
  <c r="O179" i="9"/>
  <c r="S179" i="9" s="1"/>
  <c r="O187" i="9"/>
  <c r="S187" i="9" s="1"/>
  <c r="O195" i="9"/>
  <c r="S195" i="9" s="1"/>
  <c r="O203" i="9"/>
  <c r="S203" i="9" s="1"/>
  <c r="O211" i="9"/>
  <c r="S211" i="9" s="1"/>
  <c r="O219" i="9"/>
  <c r="S219" i="9" s="1"/>
  <c r="O227" i="9"/>
  <c r="S227" i="9" s="1"/>
  <c r="O235" i="9"/>
  <c r="S235" i="9" s="1"/>
  <c r="O243" i="9"/>
  <c r="S243" i="9" s="1"/>
  <c r="O251" i="9"/>
  <c r="S251" i="9" s="1"/>
  <c r="O259" i="9"/>
  <c r="S259" i="9" s="1"/>
  <c r="O267" i="9"/>
  <c r="S267" i="9" s="1"/>
  <c r="O275" i="9"/>
  <c r="S275" i="9" s="1"/>
  <c r="O283" i="9"/>
  <c r="S283" i="9" s="1"/>
  <c r="O291" i="9"/>
  <c r="S291" i="9" s="1"/>
  <c r="O299" i="9"/>
  <c r="S299" i="9" s="1"/>
  <c r="O307" i="9"/>
  <c r="S307" i="9" s="1"/>
  <c r="O315" i="9"/>
  <c r="S315" i="9" s="1"/>
  <c r="O323" i="9"/>
  <c r="S323" i="9" s="1"/>
  <c r="O331" i="9"/>
  <c r="S331" i="9" s="1"/>
  <c r="P11" i="9"/>
  <c r="T11" i="9" s="1"/>
  <c r="P19" i="9"/>
  <c r="T19" i="9" s="1"/>
  <c r="P27" i="9"/>
  <c r="T27" i="9" s="1"/>
  <c r="P35" i="9"/>
  <c r="T35" i="9" s="1"/>
  <c r="P43" i="9"/>
  <c r="T43" i="9" s="1"/>
  <c r="P51" i="9"/>
  <c r="T51" i="9" s="1"/>
  <c r="P59" i="9"/>
  <c r="T59" i="9" s="1"/>
  <c r="P67" i="9"/>
  <c r="T67" i="9" s="1"/>
  <c r="P75" i="9"/>
  <c r="T75" i="9" s="1"/>
  <c r="P83" i="9"/>
  <c r="T83" i="9" s="1"/>
  <c r="P91" i="9"/>
  <c r="T91" i="9" s="1"/>
  <c r="P99" i="9"/>
  <c r="T99" i="9" s="1"/>
  <c r="P107" i="9"/>
  <c r="T107" i="9" s="1"/>
  <c r="P115" i="9"/>
  <c r="T115" i="9" s="1"/>
  <c r="P123" i="9"/>
  <c r="T123" i="9" s="1"/>
  <c r="P131" i="9"/>
  <c r="T131" i="9" s="1"/>
  <c r="P139" i="9"/>
  <c r="T139" i="9" s="1"/>
  <c r="P147" i="9"/>
  <c r="T147" i="9" s="1"/>
  <c r="P155" i="9"/>
  <c r="T155" i="9" s="1"/>
  <c r="P163" i="9"/>
  <c r="T163" i="9" s="1"/>
  <c r="P171" i="9"/>
  <c r="T171" i="9" s="1"/>
  <c r="P179" i="9"/>
  <c r="T179" i="9" s="1"/>
  <c r="P187" i="9"/>
  <c r="T187" i="9" s="1"/>
  <c r="P195" i="9"/>
  <c r="T195" i="9" s="1"/>
  <c r="P203" i="9"/>
  <c r="T203" i="9" s="1"/>
  <c r="P211" i="9"/>
  <c r="T211" i="9" s="1"/>
  <c r="P219" i="9"/>
  <c r="T219" i="9" s="1"/>
  <c r="P227" i="9"/>
  <c r="T227" i="9" s="1"/>
  <c r="P235" i="9"/>
  <c r="T235" i="9" s="1"/>
  <c r="P243" i="9"/>
  <c r="T243" i="9" s="1"/>
  <c r="P251" i="9"/>
  <c r="T251" i="9" s="1"/>
  <c r="P259" i="9"/>
  <c r="T259" i="9" s="1"/>
  <c r="P267" i="9"/>
  <c r="T267" i="9" s="1"/>
  <c r="P275" i="9"/>
  <c r="T275" i="9" s="1"/>
  <c r="P283" i="9"/>
  <c r="T283" i="9" s="1"/>
  <c r="P291" i="9"/>
  <c r="T291" i="9" s="1"/>
  <c r="P299" i="9"/>
  <c r="T299" i="9" s="1"/>
  <c r="P307" i="9"/>
  <c r="T307" i="9" s="1"/>
  <c r="P315" i="9"/>
  <c r="T315" i="9" s="1"/>
  <c r="P323" i="9"/>
  <c r="T323" i="9" s="1"/>
  <c r="P331" i="9"/>
  <c r="T331" i="9" s="1"/>
  <c r="O12" i="9"/>
  <c r="S12" i="9" s="1"/>
  <c r="O28" i="9"/>
  <c r="S28" i="9" s="1"/>
  <c r="O36" i="9"/>
  <c r="S36" i="9" s="1"/>
  <c r="N12" i="9"/>
  <c r="N20" i="9"/>
  <c r="R20" i="9" s="1"/>
  <c r="N28" i="9"/>
  <c r="N36" i="9"/>
  <c r="R36" i="9" s="1"/>
  <c r="N44" i="9"/>
  <c r="R44" i="9" s="1"/>
  <c r="V44" i="9" s="1"/>
  <c r="N52" i="9"/>
  <c r="R52" i="9" s="1"/>
  <c r="N60" i="9"/>
  <c r="N68" i="9"/>
  <c r="N76" i="9"/>
  <c r="N84" i="9"/>
  <c r="R84" i="9" s="1"/>
  <c r="N92" i="9"/>
  <c r="R92" i="9" s="1"/>
  <c r="N100" i="9"/>
  <c r="R100" i="9" s="1"/>
  <c r="N108" i="9"/>
  <c r="R108" i="9" s="1"/>
  <c r="N116" i="9"/>
  <c r="R116" i="9" s="1"/>
  <c r="N124" i="9"/>
  <c r="R124" i="9" s="1"/>
  <c r="N132" i="9"/>
  <c r="R132" i="9" s="1"/>
  <c r="N140" i="9"/>
  <c r="R140" i="9" s="1"/>
  <c r="N148" i="9"/>
  <c r="R148" i="9" s="1"/>
  <c r="N156" i="9"/>
  <c r="R156" i="9" s="1"/>
  <c r="N164" i="9"/>
  <c r="R164" i="9" s="1"/>
  <c r="N172" i="9"/>
  <c r="R172" i="9" s="1"/>
  <c r="N180" i="9"/>
  <c r="R180" i="9" s="1"/>
  <c r="N188" i="9"/>
  <c r="R188" i="9" s="1"/>
  <c r="V188" i="9" s="1"/>
  <c r="N196" i="9"/>
  <c r="R196" i="9" s="1"/>
  <c r="N204" i="9"/>
  <c r="R204" i="9" s="1"/>
  <c r="V204" i="9" s="1"/>
  <c r="N212" i="9"/>
  <c r="R212" i="9" s="1"/>
  <c r="N220" i="9"/>
  <c r="R220" i="9" s="1"/>
  <c r="V220" i="9" s="1"/>
  <c r="N228" i="9"/>
  <c r="R228" i="9" s="1"/>
  <c r="N236" i="9"/>
  <c r="R236" i="9" s="1"/>
  <c r="V236" i="9" s="1"/>
  <c r="N244" i="9"/>
  <c r="N252" i="9"/>
  <c r="R252" i="9" s="1"/>
  <c r="N260" i="9"/>
  <c r="R260" i="9" s="1"/>
  <c r="N268" i="9"/>
  <c r="R268" i="9" s="1"/>
  <c r="N276" i="9"/>
  <c r="R276" i="9" s="1"/>
  <c r="N284" i="9"/>
  <c r="R284" i="9" s="1"/>
  <c r="N292" i="9"/>
  <c r="R292" i="9" s="1"/>
  <c r="N300" i="9"/>
  <c r="R300" i="9" s="1"/>
  <c r="V300" i="9" s="1"/>
  <c r="N308" i="9"/>
  <c r="N316" i="9"/>
  <c r="R316" i="9" s="1"/>
  <c r="N324" i="9"/>
  <c r="R324" i="9" s="1"/>
  <c r="N332" i="9"/>
  <c r="O15" i="9"/>
  <c r="S15" i="9" s="1"/>
  <c r="O23" i="9"/>
  <c r="S23" i="9" s="1"/>
  <c r="O31" i="9"/>
  <c r="S31" i="9" s="1"/>
  <c r="O39" i="9"/>
  <c r="S39" i="9" s="1"/>
  <c r="O47" i="9"/>
  <c r="S47" i="9" s="1"/>
  <c r="O55" i="9"/>
  <c r="S55" i="9" s="1"/>
  <c r="O63" i="9"/>
  <c r="S63" i="9" s="1"/>
  <c r="O71" i="9"/>
  <c r="S71" i="9" s="1"/>
  <c r="O79" i="9"/>
  <c r="S79" i="9" s="1"/>
  <c r="O87" i="9"/>
  <c r="S87" i="9" s="1"/>
  <c r="O95" i="9"/>
  <c r="S95" i="9" s="1"/>
  <c r="O103" i="9"/>
  <c r="S103" i="9" s="1"/>
  <c r="O111" i="9"/>
  <c r="S111" i="9" s="1"/>
  <c r="O119" i="9"/>
  <c r="S119" i="9" s="1"/>
  <c r="O127" i="9"/>
  <c r="S127" i="9" s="1"/>
  <c r="O135" i="9"/>
  <c r="S135" i="9" s="1"/>
  <c r="O143" i="9"/>
  <c r="S143" i="9" s="1"/>
  <c r="O151" i="9"/>
  <c r="S151" i="9" s="1"/>
  <c r="O159" i="9"/>
  <c r="S159" i="9" s="1"/>
  <c r="O167" i="9"/>
  <c r="S167" i="9" s="1"/>
  <c r="O175" i="9"/>
  <c r="S175" i="9" s="1"/>
  <c r="O183" i="9"/>
  <c r="S183" i="9" s="1"/>
  <c r="O191" i="9"/>
  <c r="S191" i="9" s="1"/>
  <c r="O199" i="9"/>
  <c r="S199" i="9" s="1"/>
  <c r="O207" i="9"/>
  <c r="S207" i="9" s="1"/>
  <c r="O215" i="9"/>
  <c r="S215" i="9" s="1"/>
  <c r="O223" i="9"/>
  <c r="S223" i="9" s="1"/>
  <c r="O231" i="9"/>
  <c r="S231" i="9" s="1"/>
  <c r="O239" i="9"/>
  <c r="S239" i="9" s="1"/>
  <c r="O247" i="9"/>
  <c r="S247" i="9" s="1"/>
  <c r="O255" i="9"/>
  <c r="S255" i="9" s="1"/>
  <c r="O263" i="9"/>
  <c r="S263" i="9" s="1"/>
  <c r="O271" i="9"/>
  <c r="S271" i="9" s="1"/>
  <c r="O279" i="9"/>
  <c r="S279" i="9" s="1"/>
  <c r="O287" i="9"/>
  <c r="S287" i="9" s="1"/>
  <c r="O295" i="9"/>
  <c r="S295" i="9" s="1"/>
  <c r="O303" i="9"/>
  <c r="S303" i="9" s="1"/>
  <c r="O311" i="9"/>
  <c r="S311" i="9" s="1"/>
  <c r="O319" i="9"/>
  <c r="S319" i="9" s="1"/>
  <c r="O327" i="9"/>
  <c r="S327" i="9" s="1"/>
  <c r="P10" i="9"/>
  <c r="T10" i="9" s="1"/>
  <c r="P191" i="9"/>
  <c r="T191" i="9" s="1"/>
  <c r="P15" i="9"/>
  <c r="T15" i="9" s="1"/>
  <c r="P23" i="9"/>
  <c r="T23" i="9" s="1"/>
  <c r="P31" i="9"/>
  <c r="T31" i="9" s="1"/>
  <c r="P39" i="9"/>
  <c r="T39" i="9" s="1"/>
  <c r="P47" i="9"/>
  <c r="T47" i="9" s="1"/>
  <c r="P55" i="9"/>
  <c r="T55" i="9" s="1"/>
  <c r="P63" i="9"/>
  <c r="T63" i="9" s="1"/>
  <c r="P71" i="9"/>
  <c r="T71" i="9" s="1"/>
  <c r="P79" i="9"/>
  <c r="T79" i="9" s="1"/>
  <c r="P87" i="9"/>
  <c r="T87" i="9" s="1"/>
  <c r="P95" i="9"/>
  <c r="T95" i="9" s="1"/>
  <c r="P103" i="9"/>
  <c r="T103" i="9" s="1"/>
  <c r="P111" i="9"/>
  <c r="T111" i="9" s="1"/>
  <c r="P119" i="9"/>
  <c r="T119" i="9" s="1"/>
  <c r="P127" i="9"/>
  <c r="T127" i="9" s="1"/>
  <c r="P135" i="9"/>
  <c r="T135" i="9" s="1"/>
  <c r="P143" i="9"/>
  <c r="T143" i="9" s="1"/>
  <c r="P151" i="9"/>
  <c r="T151" i="9" s="1"/>
  <c r="P159" i="9"/>
  <c r="P167" i="9"/>
  <c r="T167" i="9" s="1"/>
  <c r="P175" i="9"/>
  <c r="T175" i="9" s="1"/>
  <c r="P183" i="9"/>
  <c r="T183" i="9" s="1"/>
  <c r="P199" i="9"/>
  <c r="T199" i="9" s="1"/>
  <c r="P207" i="9"/>
  <c r="T207" i="9" s="1"/>
  <c r="P215" i="9"/>
  <c r="T215" i="9" s="1"/>
  <c r="P223" i="9"/>
  <c r="T223" i="9" s="1"/>
  <c r="P231" i="9"/>
  <c r="T231" i="9" s="1"/>
  <c r="P239" i="9"/>
  <c r="T239" i="9" s="1"/>
  <c r="P247" i="9"/>
  <c r="T247" i="9" s="1"/>
  <c r="P255" i="9"/>
  <c r="T255" i="9" s="1"/>
  <c r="P263" i="9"/>
  <c r="T263" i="9" s="1"/>
  <c r="P271" i="9"/>
  <c r="T271" i="9" s="1"/>
  <c r="P279" i="9"/>
  <c r="T279" i="9" s="1"/>
  <c r="P287" i="9"/>
  <c r="T287" i="9" s="1"/>
  <c r="P295" i="9"/>
  <c r="T295" i="9" s="1"/>
  <c r="P303" i="9"/>
  <c r="T303" i="9" s="1"/>
  <c r="P311" i="9"/>
  <c r="T311" i="9" s="1"/>
  <c r="P319" i="9"/>
  <c r="T319" i="9" s="1"/>
  <c r="P327" i="9"/>
  <c r="T327" i="9" s="1"/>
  <c r="O10" i="9"/>
  <c r="S10" i="9" s="1"/>
  <c r="N11" i="9"/>
  <c r="O21" i="9"/>
  <c r="S21" i="9" s="1"/>
  <c r="N50" i="9"/>
  <c r="R50" i="9" s="1"/>
  <c r="O69" i="9"/>
  <c r="S69" i="9" s="1"/>
  <c r="P78" i="9"/>
  <c r="T78" i="9" s="1"/>
  <c r="O88" i="9"/>
  <c r="S88" i="9" s="1"/>
  <c r="P97" i="9"/>
  <c r="T97" i="9" s="1"/>
  <c r="N126" i="9"/>
  <c r="N145" i="9"/>
  <c r="R145" i="9" s="1"/>
  <c r="O154" i="9"/>
  <c r="S154" i="9" s="1"/>
  <c r="O164" i="9"/>
  <c r="S164" i="9" s="1"/>
  <c r="P173" i="9"/>
  <c r="T173" i="9" s="1"/>
  <c r="P192" i="9"/>
  <c r="T192" i="9" s="1"/>
  <c r="N211" i="9"/>
  <c r="R211" i="9" s="1"/>
  <c r="N221" i="9"/>
  <c r="R221" i="9" s="1"/>
  <c r="O230" i="9"/>
  <c r="S230" i="9" s="1"/>
  <c r="N240" i="9"/>
  <c r="R240" i="9" s="1"/>
  <c r="O249" i="9"/>
  <c r="S249" i="9" s="1"/>
  <c r="P258" i="9"/>
  <c r="T258" i="9" s="1"/>
  <c r="P268" i="9"/>
  <c r="T268" i="9" s="1"/>
  <c r="N287" i="9"/>
  <c r="R287" i="9" s="1"/>
  <c r="N306" i="9"/>
  <c r="R306" i="9" s="1"/>
  <c r="O325" i="9"/>
  <c r="S325" i="9" s="1"/>
  <c r="P334" i="9"/>
  <c r="T334" i="9" s="1"/>
  <c r="N22" i="9"/>
  <c r="R22" i="9" s="1"/>
  <c r="P21" i="9"/>
  <c r="T21" i="9" s="1"/>
  <c r="N31" i="9"/>
  <c r="R31" i="9" s="1"/>
  <c r="V31" i="9" s="1"/>
  <c r="N41" i="9"/>
  <c r="R41" i="9" s="1"/>
  <c r="V41" i="9" s="1"/>
  <c r="O50" i="9"/>
  <c r="S50" i="9" s="1"/>
  <c r="O60" i="9"/>
  <c r="S60" i="9" s="1"/>
  <c r="P69" i="9"/>
  <c r="T69" i="9" s="1"/>
  <c r="P88" i="9"/>
  <c r="T88" i="9" s="1"/>
  <c r="N107" i="9"/>
  <c r="R107" i="9" s="1"/>
  <c r="V107" i="9" s="1"/>
  <c r="N117" i="9"/>
  <c r="R117" i="9" s="1"/>
  <c r="V117" i="9" s="1"/>
  <c r="O126" i="9"/>
  <c r="S126" i="9" s="1"/>
  <c r="N136" i="9"/>
  <c r="R136" i="9" s="1"/>
  <c r="O145" i="9"/>
  <c r="S145" i="9" s="1"/>
  <c r="P154" i="9"/>
  <c r="T154" i="9" s="1"/>
  <c r="P164" i="9"/>
  <c r="T164" i="9" s="1"/>
  <c r="N183" i="9"/>
  <c r="R183" i="9" s="1"/>
  <c r="V183" i="9" s="1"/>
  <c r="N202" i="9"/>
  <c r="R202" i="9" s="1"/>
  <c r="O221" i="9"/>
  <c r="S221" i="9" s="1"/>
  <c r="P230" i="9"/>
  <c r="T230" i="9" s="1"/>
  <c r="O240" i="9"/>
  <c r="S240" i="9" s="1"/>
  <c r="P249" i="9"/>
  <c r="T249" i="9" s="1"/>
  <c r="N278" i="9"/>
  <c r="R278" i="9" s="1"/>
  <c r="N297" i="9"/>
  <c r="R297" i="9" s="1"/>
  <c r="O306" i="9"/>
  <c r="S306" i="9" s="1"/>
  <c r="O316" i="9"/>
  <c r="S316" i="9" s="1"/>
  <c r="P325" i="9"/>
  <c r="T325" i="9" s="1"/>
  <c r="P12" i="9"/>
  <c r="T12" i="9" s="1"/>
  <c r="O41" i="9"/>
  <c r="S41" i="9" s="1"/>
  <c r="P50" i="9"/>
  <c r="T50" i="9" s="1"/>
  <c r="P60" i="9"/>
  <c r="T60" i="9" s="1"/>
  <c r="N79" i="9"/>
  <c r="R79" i="9" s="1"/>
  <c r="N98" i="9"/>
  <c r="R98" i="9" s="1"/>
  <c r="O117" i="9"/>
  <c r="S117" i="9" s="1"/>
  <c r="P126" i="9"/>
  <c r="T126" i="9" s="1"/>
  <c r="O136" i="9"/>
  <c r="S136" i="9" s="1"/>
  <c r="P145" i="9"/>
  <c r="T145" i="9" s="1"/>
  <c r="N174" i="9"/>
  <c r="R174" i="9" s="1"/>
  <c r="V174" i="9" s="1"/>
  <c r="N193" i="9"/>
  <c r="R193" i="9" s="1"/>
  <c r="V193" i="9" s="1"/>
  <c r="O202" i="9"/>
  <c r="S202" i="9" s="1"/>
  <c r="O212" i="9"/>
  <c r="S212" i="9" s="1"/>
  <c r="P221" i="9"/>
  <c r="T221" i="9" s="1"/>
  <c r="P240" i="9"/>
  <c r="T240" i="9" s="1"/>
  <c r="N259" i="9"/>
  <c r="R259" i="9" s="1"/>
  <c r="N269" i="9"/>
  <c r="R269" i="9" s="1"/>
  <c r="O278" i="9"/>
  <c r="S278" i="9" s="1"/>
  <c r="N288" i="9"/>
  <c r="O297" i="9"/>
  <c r="S297" i="9" s="1"/>
  <c r="P306" i="9"/>
  <c r="T306" i="9" s="1"/>
  <c r="P316" i="9"/>
  <c r="T316" i="9" s="1"/>
  <c r="N32" i="9"/>
  <c r="P41" i="9"/>
  <c r="T41" i="9" s="1"/>
  <c r="N70" i="9"/>
  <c r="R70" i="9" s="1"/>
  <c r="N89" i="9"/>
  <c r="R89" i="9" s="1"/>
  <c r="O98" i="9"/>
  <c r="S98" i="9" s="1"/>
  <c r="O108" i="9"/>
  <c r="S108" i="9" s="1"/>
  <c r="P117" i="9"/>
  <c r="T117" i="9" s="1"/>
  <c r="P136" i="9"/>
  <c r="T136" i="9" s="1"/>
  <c r="N155" i="9"/>
  <c r="R155" i="9" s="1"/>
  <c r="N165" i="9"/>
  <c r="R165" i="9" s="1"/>
  <c r="O174" i="9"/>
  <c r="S174" i="9" s="1"/>
  <c r="N184" i="9"/>
  <c r="R184" i="9" s="1"/>
  <c r="O193" i="9"/>
  <c r="S193" i="9" s="1"/>
  <c r="P202" i="9"/>
  <c r="T202" i="9" s="1"/>
  <c r="P212" i="9"/>
  <c r="T212" i="9" s="1"/>
  <c r="N231" i="9"/>
  <c r="R231" i="9" s="1"/>
  <c r="N250" i="9"/>
  <c r="R250" i="9" s="1"/>
  <c r="O269" i="9"/>
  <c r="S269" i="9" s="1"/>
  <c r="P278" i="9"/>
  <c r="T278" i="9" s="1"/>
  <c r="O288" i="9"/>
  <c r="S288" i="9" s="1"/>
  <c r="P297" i="9"/>
  <c r="T297" i="9" s="1"/>
  <c r="N326" i="9"/>
  <c r="R326" i="9" s="1"/>
  <c r="N10" i="9"/>
  <c r="R10" i="9" s="1"/>
  <c r="N13" i="9"/>
  <c r="R13" i="9" s="1"/>
  <c r="V13" i="9" s="1"/>
  <c r="O32" i="9"/>
  <c r="S32" i="9" s="1"/>
  <c r="N51" i="9"/>
  <c r="R51" i="9" s="1"/>
  <c r="N61" i="9"/>
  <c r="R61" i="9" s="1"/>
  <c r="O70" i="9"/>
  <c r="S70" i="9" s="1"/>
  <c r="N80" i="9"/>
  <c r="R80" i="9" s="1"/>
  <c r="O89" i="9"/>
  <c r="S89" i="9" s="1"/>
  <c r="P98" i="9"/>
  <c r="T98" i="9" s="1"/>
  <c r="P108" i="9"/>
  <c r="T108" i="9" s="1"/>
  <c r="N127" i="9"/>
  <c r="N146" i="9"/>
  <c r="R146" i="9" s="1"/>
  <c r="O165" i="9"/>
  <c r="S165" i="9" s="1"/>
  <c r="P174" i="9"/>
  <c r="T174" i="9" s="1"/>
  <c r="O184" i="9"/>
  <c r="S184" i="9" s="1"/>
  <c r="P193" i="9"/>
  <c r="T193" i="9" s="1"/>
  <c r="N222" i="9"/>
  <c r="R222" i="9" s="1"/>
  <c r="N241" i="9"/>
  <c r="R241" i="9" s="1"/>
  <c r="O250" i="9"/>
  <c r="S250" i="9" s="1"/>
  <c r="O260" i="9"/>
  <c r="S260" i="9" s="1"/>
  <c r="P269" i="9"/>
  <c r="T269" i="9" s="1"/>
  <c r="P288" i="9"/>
  <c r="T288" i="9" s="1"/>
  <c r="N307" i="9"/>
  <c r="R307" i="9" s="1"/>
  <c r="N317" i="9"/>
  <c r="R317" i="9" s="1"/>
  <c r="O326" i="9"/>
  <c r="S326" i="9" s="1"/>
  <c r="O18" i="9"/>
  <c r="S18" i="9" s="1"/>
  <c r="P28" i="9"/>
  <c r="T28" i="9" s="1"/>
  <c r="N38" i="9"/>
  <c r="R38" i="9" s="1"/>
  <c r="V38" i="9" s="1"/>
  <c r="N57" i="9"/>
  <c r="R57" i="9" s="1"/>
  <c r="V57" i="9" s="1"/>
  <c r="O66" i="9"/>
  <c r="S66" i="9" s="1"/>
  <c r="O76" i="9"/>
  <c r="S76" i="9" s="1"/>
  <c r="P85" i="9"/>
  <c r="T85" i="9" s="1"/>
  <c r="P104" i="9"/>
  <c r="T104" i="9" s="1"/>
  <c r="N123" i="9"/>
  <c r="R123" i="9" s="1"/>
  <c r="N133" i="9"/>
  <c r="R133" i="9" s="1"/>
  <c r="V133" i="9" s="1"/>
  <c r="O142" i="9"/>
  <c r="S142" i="9" s="1"/>
  <c r="N152" i="9"/>
  <c r="R152" i="9" s="1"/>
  <c r="O161" i="9"/>
  <c r="S161" i="9" s="1"/>
  <c r="P170" i="9"/>
  <c r="T170" i="9" s="1"/>
  <c r="P180" i="9"/>
  <c r="T180" i="9" s="1"/>
  <c r="N199" i="9"/>
  <c r="R199" i="9" s="1"/>
  <c r="N218" i="9"/>
  <c r="R218" i="9" s="1"/>
  <c r="O237" i="9"/>
  <c r="S237" i="9" s="1"/>
  <c r="P246" i="9"/>
  <c r="T246" i="9" s="1"/>
  <c r="O256" i="9"/>
  <c r="S256" i="9" s="1"/>
  <c r="P265" i="9"/>
  <c r="T265" i="9" s="1"/>
  <c r="N294" i="9"/>
  <c r="N313" i="9"/>
  <c r="R313" i="9" s="1"/>
  <c r="O322" i="9"/>
  <c r="S322" i="9" s="1"/>
  <c r="O332" i="9"/>
  <c r="S332" i="9" s="1"/>
  <c r="P18" i="9"/>
  <c r="T18" i="9" s="1"/>
  <c r="O38" i="9"/>
  <c r="S38" i="9" s="1"/>
  <c r="N48" i="9"/>
  <c r="R48" i="9" s="1"/>
  <c r="O57" i="9"/>
  <c r="S57" i="9" s="1"/>
  <c r="P66" i="9"/>
  <c r="T66" i="9" s="1"/>
  <c r="P76" i="9"/>
  <c r="T76" i="9" s="1"/>
  <c r="N95" i="9"/>
  <c r="R95" i="9" s="1"/>
  <c r="N114" i="9"/>
  <c r="R114" i="9" s="1"/>
  <c r="O133" i="9"/>
  <c r="S133" i="9" s="1"/>
  <c r="P142" i="9"/>
  <c r="T142" i="9" s="1"/>
  <c r="O152" i="9"/>
  <c r="S152" i="9" s="1"/>
  <c r="P161" i="9"/>
  <c r="T161" i="9" s="1"/>
  <c r="N190" i="9"/>
  <c r="R190" i="9" s="1"/>
  <c r="N209" i="9"/>
  <c r="R209" i="9" s="1"/>
  <c r="O218" i="9"/>
  <c r="S218" i="9" s="1"/>
  <c r="O228" i="9"/>
  <c r="S228" i="9" s="1"/>
  <c r="P237" i="9"/>
  <c r="T237" i="9" s="1"/>
  <c r="P256" i="9"/>
  <c r="T256" i="9" s="1"/>
  <c r="N275" i="9"/>
  <c r="R275" i="9" s="1"/>
  <c r="N285" i="9"/>
  <c r="R285" i="9" s="1"/>
  <c r="O294" i="9"/>
  <c r="S294" i="9" s="1"/>
  <c r="N304" i="9"/>
  <c r="R304" i="9" s="1"/>
  <c r="O313" i="9"/>
  <c r="S313" i="9" s="1"/>
  <c r="P322" i="9"/>
  <c r="T322" i="9" s="1"/>
  <c r="P332" i="9"/>
  <c r="T332" i="9" s="1"/>
  <c r="N29" i="9"/>
  <c r="R29" i="9" s="1"/>
  <c r="P38" i="9"/>
  <c r="T38" i="9" s="1"/>
  <c r="O48" i="9"/>
  <c r="S48" i="9" s="1"/>
  <c r="P57" i="9"/>
  <c r="T57" i="9" s="1"/>
  <c r="N86" i="9"/>
  <c r="R86" i="9" s="1"/>
  <c r="N105" i="9"/>
  <c r="R105" i="9" s="1"/>
  <c r="O114" i="9"/>
  <c r="S114" i="9" s="1"/>
  <c r="O124" i="9"/>
  <c r="S124" i="9" s="1"/>
  <c r="P133" i="9"/>
  <c r="T133" i="9" s="1"/>
  <c r="P152" i="9"/>
  <c r="T152" i="9" s="1"/>
  <c r="N171" i="9"/>
  <c r="R171" i="9" s="1"/>
  <c r="V171" i="9" s="1"/>
  <c r="N181" i="9"/>
  <c r="R181" i="9" s="1"/>
  <c r="O190" i="9"/>
  <c r="S190" i="9" s="1"/>
  <c r="N200" i="9"/>
  <c r="R200" i="9" s="1"/>
  <c r="O209" i="9"/>
  <c r="S209" i="9" s="1"/>
  <c r="P218" i="9"/>
  <c r="T218" i="9" s="1"/>
  <c r="P228" i="9"/>
  <c r="T228" i="9" s="1"/>
  <c r="N247" i="9"/>
  <c r="R247" i="9" s="1"/>
  <c r="V247" i="9" s="1"/>
  <c r="N266" i="9"/>
  <c r="R266" i="9" s="1"/>
  <c r="V266" i="9" s="1"/>
  <c r="O285" i="9"/>
  <c r="S285" i="9" s="1"/>
  <c r="P294" i="9"/>
  <c r="T294" i="9" s="1"/>
  <c r="O304" i="9"/>
  <c r="S304" i="9" s="1"/>
  <c r="P313" i="9"/>
  <c r="T313" i="9" s="1"/>
  <c r="N19" i="9"/>
  <c r="R19" i="9" s="1"/>
  <c r="O29" i="9"/>
  <c r="S29" i="9" s="1"/>
  <c r="P48" i="9"/>
  <c r="T48" i="9" s="1"/>
  <c r="N67" i="9"/>
  <c r="R67" i="9" s="1"/>
  <c r="N77" i="9"/>
  <c r="R77" i="9" s="1"/>
  <c r="O86" i="9"/>
  <c r="S86" i="9" s="1"/>
  <c r="N96" i="9"/>
  <c r="R96" i="9" s="1"/>
  <c r="O105" i="9"/>
  <c r="S105" i="9" s="1"/>
  <c r="P114" i="9"/>
  <c r="T114" i="9" s="1"/>
  <c r="P124" i="9"/>
  <c r="T124" i="9" s="1"/>
  <c r="N143" i="9"/>
  <c r="N162" i="9"/>
  <c r="N24" i="9"/>
  <c r="R24" i="9" s="1"/>
  <c r="N35" i="9"/>
  <c r="R35" i="9" s="1"/>
  <c r="N59" i="9"/>
  <c r="R59" i="9" s="1"/>
  <c r="N72" i="9"/>
  <c r="R72" i="9" s="1"/>
  <c r="P94" i="9"/>
  <c r="T94" i="9" s="1"/>
  <c r="P106" i="9"/>
  <c r="T106" i="9" s="1"/>
  <c r="O130" i="9"/>
  <c r="S130" i="9" s="1"/>
  <c r="N154" i="9"/>
  <c r="R154" i="9" s="1"/>
  <c r="P166" i="9"/>
  <c r="T166" i="9" s="1"/>
  <c r="N189" i="9"/>
  <c r="R189" i="9" s="1"/>
  <c r="O224" i="9"/>
  <c r="S224" i="9" s="1"/>
  <c r="O246" i="9"/>
  <c r="S246" i="9" s="1"/>
  <c r="N258" i="9"/>
  <c r="R258" i="9" s="1"/>
  <c r="O270" i="9"/>
  <c r="S270" i="9" s="1"/>
  <c r="N281" i="9"/>
  <c r="R281" i="9" s="1"/>
  <c r="P292" i="9"/>
  <c r="T292" i="9" s="1"/>
  <c r="N328" i="9"/>
  <c r="R328" i="9" s="1"/>
  <c r="N83" i="9"/>
  <c r="R83" i="9" s="1"/>
  <c r="V83" i="9" s="1"/>
  <c r="N119" i="9"/>
  <c r="R119" i="9" s="1"/>
  <c r="P130" i="9"/>
  <c r="T130" i="9" s="1"/>
  <c r="N142" i="9"/>
  <c r="R142" i="9" s="1"/>
  <c r="N178" i="9"/>
  <c r="R178" i="9" s="1"/>
  <c r="O189" i="9"/>
  <c r="S189" i="9" s="1"/>
  <c r="N201" i="9"/>
  <c r="R201" i="9" s="1"/>
  <c r="P224" i="9"/>
  <c r="T224" i="9" s="1"/>
  <c r="N235" i="9"/>
  <c r="R235" i="9" s="1"/>
  <c r="O258" i="9"/>
  <c r="S258" i="9" s="1"/>
  <c r="P270" i="9"/>
  <c r="T270" i="9" s="1"/>
  <c r="O281" i="9"/>
  <c r="P304" i="9"/>
  <c r="T304" i="9" s="1"/>
  <c r="O328" i="9"/>
  <c r="S328" i="9" s="1"/>
  <c r="N225" i="9"/>
  <c r="O37" i="9"/>
  <c r="S37" i="9" s="1"/>
  <c r="O24" i="9"/>
  <c r="S24" i="9" s="1"/>
  <c r="N47" i="9"/>
  <c r="R47" i="9" s="1"/>
  <c r="O72" i="9"/>
  <c r="S72" i="9" s="1"/>
  <c r="N25" i="9"/>
  <c r="R25" i="9" s="1"/>
  <c r="N110" i="9"/>
  <c r="R110" i="9" s="1"/>
  <c r="O13" i="9"/>
  <c r="S13" i="9" s="1"/>
  <c r="P24" i="9"/>
  <c r="T24" i="9" s="1"/>
  <c r="P36" i="9"/>
  <c r="T36" i="9" s="1"/>
  <c r="P72" i="9"/>
  <c r="T72" i="9" s="1"/>
  <c r="N167" i="9"/>
  <c r="R167" i="9" s="1"/>
  <c r="O178" i="9"/>
  <c r="S178" i="9" s="1"/>
  <c r="P189" i="9"/>
  <c r="T189" i="9" s="1"/>
  <c r="O201" i="9"/>
  <c r="S201" i="9" s="1"/>
  <c r="O213" i="9"/>
  <c r="S213" i="9" s="1"/>
  <c r="P281" i="9"/>
  <c r="T281" i="9" s="1"/>
  <c r="N293" i="9"/>
  <c r="R293" i="9" s="1"/>
  <c r="V293" i="9" s="1"/>
  <c r="P328" i="9"/>
  <c r="T328" i="9" s="1"/>
  <c r="P260" i="9"/>
  <c r="T260" i="9" s="1"/>
  <c r="N74" i="9"/>
  <c r="R74" i="9" s="1"/>
  <c r="O73" i="9"/>
  <c r="S73" i="9" s="1"/>
  <c r="P248" i="9"/>
  <c r="T248" i="9" s="1"/>
  <c r="O206" i="9"/>
  <c r="S206" i="9" s="1"/>
  <c r="O14" i="9"/>
  <c r="S14" i="9" s="1"/>
  <c r="P25" i="9"/>
  <c r="T25" i="9" s="1"/>
  <c r="P37" i="9"/>
  <c r="T37" i="9" s="1"/>
  <c r="P49" i="9"/>
  <c r="T49" i="9" s="1"/>
  <c r="N62" i="9"/>
  <c r="P73" i="9"/>
  <c r="T73" i="9" s="1"/>
  <c r="N85" i="9"/>
  <c r="N97" i="9"/>
  <c r="R97" i="9" s="1"/>
  <c r="P168" i="9"/>
  <c r="T168" i="9" s="1"/>
  <c r="N191" i="9"/>
  <c r="N203" i="9"/>
  <c r="R203" i="9" s="1"/>
  <c r="O214" i="9"/>
  <c r="S214" i="9" s="1"/>
  <c r="O272" i="9"/>
  <c r="S272" i="9" s="1"/>
  <c r="O333" i="9"/>
  <c r="S333" i="9" s="1"/>
  <c r="P14" i="9"/>
  <c r="T14" i="9" s="1"/>
  <c r="O62" i="9"/>
  <c r="S62" i="9" s="1"/>
  <c r="O85" i="9"/>
  <c r="S85" i="9" s="1"/>
  <c r="O97" i="9"/>
  <c r="S97" i="9" s="1"/>
  <c r="N121" i="9"/>
  <c r="R121" i="9" s="1"/>
  <c r="O157" i="9"/>
  <c r="S157" i="9" s="1"/>
  <c r="O180" i="9"/>
  <c r="S180" i="9" s="1"/>
  <c r="P214" i="9"/>
  <c r="T214" i="9" s="1"/>
  <c r="N226" i="9"/>
  <c r="R226" i="9" s="1"/>
  <c r="V226" i="9" s="1"/>
  <c r="N249" i="9"/>
  <c r="R249" i="9" s="1"/>
  <c r="V249" i="9" s="1"/>
  <c r="O261" i="9"/>
  <c r="S261" i="9" s="1"/>
  <c r="P272" i="9"/>
  <c r="T272" i="9" s="1"/>
  <c r="N192" i="9"/>
  <c r="R192" i="9" s="1"/>
  <c r="O172" i="9"/>
  <c r="S172" i="9" s="1"/>
  <c r="N15" i="9"/>
  <c r="R15" i="9" s="1"/>
  <c r="O26" i="9"/>
  <c r="S26" i="9" s="1"/>
  <c r="N39" i="9"/>
  <c r="O74" i="9"/>
  <c r="S74" i="9" s="1"/>
  <c r="P86" i="9"/>
  <c r="T86" i="9" s="1"/>
  <c r="O110" i="9"/>
  <c r="S110" i="9" s="1"/>
  <c r="P121" i="9"/>
  <c r="T121" i="9" s="1"/>
  <c r="N134" i="9"/>
  <c r="O146" i="9"/>
  <c r="S146" i="9" s="1"/>
  <c r="O169" i="9"/>
  <c r="S169" i="9" s="1"/>
  <c r="O181" i="9"/>
  <c r="S181" i="9" s="1"/>
  <c r="O192" i="9"/>
  <c r="S192" i="9" s="1"/>
  <c r="P204" i="9"/>
  <c r="T204" i="9" s="1"/>
  <c r="N215" i="9"/>
  <c r="R215" i="9" s="1"/>
  <c r="P226" i="9"/>
  <c r="T226" i="9" s="1"/>
  <c r="O238" i="9"/>
  <c r="S238" i="9" s="1"/>
  <c r="P250" i="9"/>
  <c r="T250" i="9" s="1"/>
  <c r="N273" i="9"/>
  <c r="R273" i="9" s="1"/>
  <c r="N296" i="9"/>
  <c r="R296" i="9" s="1"/>
  <c r="O308" i="9"/>
  <c r="S308" i="9" s="1"/>
  <c r="N319" i="9"/>
  <c r="R319" i="9" s="1"/>
  <c r="O330" i="9"/>
  <c r="S330" i="9" s="1"/>
  <c r="O296" i="9"/>
  <c r="S296" i="9" s="1"/>
  <c r="N16" i="9"/>
  <c r="R16" i="9" s="1"/>
  <c r="V16" i="9" s="1"/>
  <c r="N40" i="9"/>
  <c r="R40" i="9" s="1"/>
  <c r="V40" i="9" s="1"/>
  <c r="P52" i="9"/>
  <c r="T52" i="9" s="1"/>
  <c r="N87" i="9"/>
  <c r="R87" i="9" s="1"/>
  <c r="V87" i="9" s="1"/>
  <c r="N122" i="9"/>
  <c r="R122" i="9" s="1"/>
  <c r="V122" i="9" s="1"/>
  <c r="P134" i="9"/>
  <c r="T134" i="9" s="1"/>
  <c r="O158" i="9"/>
  <c r="S158" i="9" s="1"/>
  <c r="N205" i="9"/>
  <c r="N216" i="9"/>
  <c r="R216" i="9" s="1"/>
  <c r="V216" i="9" s="1"/>
  <c r="N227" i="9"/>
  <c r="R227" i="9" s="1"/>
  <c r="V227" i="9" s="1"/>
  <c r="N251" i="9"/>
  <c r="R251" i="9" s="1"/>
  <c r="V251" i="9" s="1"/>
  <c r="O262" i="9"/>
  <c r="S262" i="9" s="1"/>
  <c r="P273" i="9"/>
  <c r="T273" i="9" s="1"/>
  <c r="P284" i="9"/>
  <c r="T284" i="9" s="1"/>
  <c r="P296" i="9"/>
  <c r="T296" i="9" s="1"/>
  <c r="N320" i="9"/>
  <c r="P53" i="9"/>
  <c r="T53" i="9" s="1"/>
  <c r="O241" i="9"/>
  <c r="S241" i="9" s="1"/>
  <c r="N286" i="9"/>
  <c r="N321" i="9"/>
  <c r="R321" i="9" s="1"/>
  <c r="O16" i="9"/>
  <c r="S16" i="9" s="1"/>
  <c r="N27" i="9"/>
  <c r="R27" i="9" s="1"/>
  <c r="O40" i="9"/>
  <c r="S40" i="9" s="1"/>
  <c r="N64" i="9"/>
  <c r="N75" i="9"/>
  <c r="R75" i="9" s="1"/>
  <c r="O100" i="9"/>
  <c r="S100" i="9" s="1"/>
  <c r="N111" i="9"/>
  <c r="R111" i="9" s="1"/>
  <c r="O122" i="9"/>
  <c r="S122" i="9" s="1"/>
  <c r="N147" i="9"/>
  <c r="R147" i="9" s="1"/>
  <c r="P158" i="9"/>
  <c r="T158" i="9" s="1"/>
  <c r="N170" i="9"/>
  <c r="R170" i="9" s="1"/>
  <c r="V170" i="9" s="1"/>
  <c r="N182" i="9"/>
  <c r="R182" i="9" s="1"/>
  <c r="N194" i="9"/>
  <c r="R194" i="9" s="1"/>
  <c r="O205" i="9"/>
  <c r="S205" i="9" s="1"/>
  <c r="O216" i="9"/>
  <c r="S216" i="9" s="1"/>
  <c r="N239" i="9"/>
  <c r="R239" i="9" s="1"/>
  <c r="V239" i="9" s="1"/>
  <c r="P262" i="9"/>
  <c r="T262" i="9" s="1"/>
  <c r="N309" i="9"/>
  <c r="R309" i="9" s="1"/>
  <c r="O320" i="9"/>
  <c r="S320" i="9" s="1"/>
  <c r="N331" i="9"/>
  <c r="R331" i="9" s="1"/>
  <c r="V331" i="9" s="1"/>
  <c r="O229" i="9"/>
  <c r="S229" i="9" s="1"/>
  <c r="P274" i="9"/>
  <c r="T274" i="9" s="1"/>
  <c r="O298" i="9"/>
  <c r="S298" i="9" s="1"/>
  <c r="N333" i="9"/>
  <c r="R333" i="9" s="1"/>
  <c r="P112" i="9"/>
  <c r="T112" i="9" s="1"/>
  <c r="P16" i="9"/>
  <c r="T16" i="9" s="1"/>
  <c r="P40" i="9"/>
  <c r="T40" i="9" s="1"/>
  <c r="N53" i="9"/>
  <c r="R53" i="9" s="1"/>
  <c r="O64" i="9"/>
  <c r="S64" i="9" s="1"/>
  <c r="N88" i="9"/>
  <c r="R88" i="9" s="1"/>
  <c r="P100" i="9"/>
  <c r="T100" i="9" s="1"/>
  <c r="P122" i="9"/>
  <c r="T122" i="9" s="1"/>
  <c r="N135" i="9"/>
  <c r="O170" i="9"/>
  <c r="S170" i="9" s="1"/>
  <c r="O182" i="9"/>
  <c r="S182" i="9" s="1"/>
  <c r="O194" i="9"/>
  <c r="S194" i="9" s="1"/>
  <c r="P205" i="9"/>
  <c r="T205" i="9" s="1"/>
  <c r="P216" i="9"/>
  <c r="T216" i="9" s="1"/>
  <c r="O252" i="9"/>
  <c r="S252" i="9" s="1"/>
  <c r="N274" i="9"/>
  <c r="R274" i="9" s="1"/>
  <c r="P285" i="9"/>
  <c r="T285" i="9" s="1"/>
  <c r="O309" i="9"/>
  <c r="S309" i="9" s="1"/>
  <c r="P320" i="9"/>
  <c r="T320" i="9" s="1"/>
  <c r="P29" i="9"/>
  <c r="T29" i="9" s="1"/>
  <c r="N137" i="9"/>
  <c r="R137" i="9" s="1"/>
  <c r="O53" i="9"/>
  <c r="S53" i="9" s="1"/>
  <c r="P64" i="9"/>
  <c r="T64" i="9" s="1"/>
  <c r="N112" i="9"/>
  <c r="R112" i="9" s="1"/>
  <c r="O148" i="9"/>
  <c r="S148" i="9" s="1"/>
  <c r="N159" i="9"/>
  <c r="R159" i="9" s="1"/>
  <c r="P182" i="9"/>
  <c r="T182" i="9" s="1"/>
  <c r="P194" i="9"/>
  <c r="T194" i="9" s="1"/>
  <c r="N229" i="9"/>
  <c r="R229" i="9" s="1"/>
  <c r="P252" i="9"/>
  <c r="T252" i="9" s="1"/>
  <c r="N263" i="9"/>
  <c r="R263" i="9" s="1"/>
  <c r="O274" i="9"/>
  <c r="S274" i="9" s="1"/>
  <c r="N298" i="9"/>
  <c r="R298" i="9" s="1"/>
  <c r="P309" i="9"/>
  <c r="T309" i="9" s="1"/>
  <c r="N17" i="9"/>
  <c r="R17" i="9" s="1"/>
  <c r="O77" i="9"/>
  <c r="S77" i="9" s="1"/>
  <c r="P89" i="9"/>
  <c r="T89" i="9" s="1"/>
  <c r="N101" i="9"/>
  <c r="R101" i="9" s="1"/>
  <c r="O112" i="9"/>
  <c r="S112" i="9" s="1"/>
  <c r="P148" i="9"/>
  <c r="T148" i="9" s="1"/>
  <c r="N206" i="9"/>
  <c r="R206" i="9" s="1"/>
  <c r="N217" i="9"/>
  <c r="N18" i="9"/>
  <c r="R18" i="9" s="1"/>
  <c r="P30" i="9"/>
  <c r="T30" i="9" s="1"/>
  <c r="P54" i="9"/>
  <c r="T54" i="9" s="1"/>
  <c r="O78" i="9"/>
  <c r="S78" i="9" s="1"/>
  <c r="P90" i="9"/>
  <c r="T90" i="9" s="1"/>
  <c r="N102" i="9"/>
  <c r="R102" i="9" s="1"/>
  <c r="O113" i="9"/>
  <c r="S113" i="9" s="1"/>
  <c r="P125" i="9"/>
  <c r="T125" i="9" s="1"/>
  <c r="P149" i="9"/>
  <c r="T149" i="9" s="1"/>
  <c r="N173" i="9"/>
  <c r="R173" i="9" s="1"/>
  <c r="N185" i="9"/>
  <c r="R185" i="9" s="1"/>
  <c r="P196" i="9"/>
  <c r="T196" i="9" s="1"/>
  <c r="N207" i="9"/>
  <c r="R207" i="9" s="1"/>
  <c r="O242" i="9"/>
  <c r="S242" i="9" s="1"/>
  <c r="P276" i="9"/>
  <c r="T276" i="9" s="1"/>
  <c r="N322" i="9"/>
  <c r="R322" i="9" s="1"/>
  <c r="N334" i="9"/>
  <c r="O20" i="9"/>
  <c r="S20" i="9" s="1"/>
  <c r="N71" i="9"/>
  <c r="N157" i="9"/>
  <c r="R157" i="9" s="1"/>
  <c r="P62" i="9"/>
  <c r="T62" i="9" s="1"/>
  <c r="N43" i="9"/>
  <c r="R43" i="9" s="1"/>
  <c r="N66" i="9"/>
  <c r="O102" i="9"/>
  <c r="S102" i="9" s="1"/>
  <c r="P113" i="9"/>
  <c r="T113" i="9" s="1"/>
  <c r="N138" i="9"/>
  <c r="R138" i="9" s="1"/>
  <c r="N161" i="9"/>
  <c r="R161" i="9" s="1"/>
  <c r="O173" i="9"/>
  <c r="S173" i="9" s="1"/>
  <c r="O185" i="9"/>
  <c r="S185" i="9" s="1"/>
  <c r="N219" i="9"/>
  <c r="R219" i="9" s="1"/>
  <c r="P242" i="9"/>
  <c r="T242" i="9" s="1"/>
  <c r="N254" i="9"/>
  <c r="N265" i="9"/>
  <c r="R265" i="9" s="1"/>
  <c r="O300" i="9"/>
  <c r="S300" i="9" s="1"/>
  <c r="N311" i="9"/>
  <c r="R311" i="9" s="1"/>
  <c r="O334" i="9"/>
  <c r="S334" i="9" s="1"/>
  <c r="P32" i="9"/>
  <c r="T32" i="9" s="1"/>
  <c r="O80" i="9"/>
  <c r="S80" i="9" s="1"/>
  <c r="P138" i="9"/>
  <c r="T138" i="9" s="1"/>
  <c r="O150" i="9"/>
  <c r="S150" i="9" s="1"/>
  <c r="O162" i="9"/>
  <c r="S162" i="9" s="1"/>
  <c r="O197" i="9"/>
  <c r="S197" i="9" s="1"/>
  <c r="O208" i="9"/>
  <c r="S208" i="9" s="1"/>
  <c r="O220" i="9"/>
  <c r="S220" i="9" s="1"/>
  <c r="O232" i="9"/>
  <c r="S232" i="9" s="1"/>
  <c r="N243" i="9"/>
  <c r="R243" i="9" s="1"/>
  <c r="V243" i="9" s="1"/>
  <c r="P254" i="9"/>
  <c r="T254" i="9" s="1"/>
  <c r="O277" i="9"/>
  <c r="S277" i="9" s="1"/>
  <c r="O289" i="9"/>
  <c r="S289" i="9" s="1"/>
  <c r="N312" i="9"/>
  <c r="R312" i="9" s="1"/>
  <c r="O46" i="9"/>
  <c r="S46" i="9" s="1"/>
  <c r="N295" i="9"/>
  <c r="P74" i="9"/>
  <c r="T74" i="9" s="1"/>
  <c r="N55" i="9"/>
  <c r="R55" i="9" s="1"/>
  <c r="N91" i="9"/>
  <c r="R91" i="9" s="1"/>
  <c r="P102" i="9"/>
  <c r="T102" i="9" s="1"/>
  <c r="O138" i="9"/>
  <c r="S138" i="9" s="1"/>
  <c r="N150" i="9"/>
  <c r="R150" i="9" s="1"/>
  <c r="P185" i="9"/>
  <c r="T185" i="9" s="1"/>
  <c r="N197" i="9"/>
  <c r="R197" i="9" s="1"/>
  <c r="N208" i="9"/>
  <c r="N232" i="9"/>
  <c r="R232" i="9" s="1"/>
  <c r="O254" i="9"/>
  <c r="S254" i="9" s="1"/>
  <c r="O265" i="9"/>
  <c r="S265" i="9" s="1"/>
  <c r="N277" i="9"/>
  <c r="R277" i="9" s="1"/>
  <c r="N289" i="9"/>
  <c r="R289" i="9" s="1"/>
  <c r="P300" i="9"/>
  <c r="T300" i="9" s="1"/>
  <c r="N323" i="9"/>
  <c r="R323" i="9" s="1"/>
  <c r="O44" i="9"/>
  <c r="S44" i="9" s="1"/>
  <c r="O65" i="9"/>
  <c r="S65" i="9" s="1"/>
  <c r="O101" i="9"/>
  <c r="S101" i="9" s="1"/>
  <c r="P20" i="9"/>
  <c r="T20" i="9" s="1"/>
  <c r="P44" i="9"/>
  <c r="T44" i="9" s="1"/>
  <c r="N56" i="9"/>
  <c r="R56" i="9" s="1"/>
  <c r="V56" i="9" s="1"/>
  <c r="O68" i="9"/>
  <c r="S68" i="9" s="1"/>
  <c r="P80" i="9"/>
  <c r="T80" i="9" s="1"/>
  <c r="O92" i="9"/>
  <c r="S92" i="9" s="1"/>
  <c r="N103" i="9"/>
  <c r="R103" i="9" s="1"/>
  <c r="V103" i="9" s="1"/>
  <c r="N115" i="9"/>
  <c r="R115" i="9" s="1"/>
  <c r="N128" i="9"/>
  <c r="R128" i="9" s="1"/>
  <c r="V128" i="9" s="1"/>
  <c r="P150" i="9"/>
  <c r="T150" i="9" s="1"/>
  <c r="P162" i="9"/>
  <c r="T162" i="9" s="1"/>
  <c r="N175" i="9"/>
  <c r="R175" i="9" s="1"/>
  <c r="V175" i="9" s="1"/>
  <c r="N186" i="9"/>
  <c r="R186" i="9" s="1"/>
  <c r="V186" i="9" s="1"/>
  <c r="P197" i="9"/>
  <c r="T197" i="9" s="1"/>
  <c r="P208" i="9"/>
  <c r="T208" i="9" s="1"/>
  <c r="P220" i="9"/>
  <c r="T220" i="9" s="1"/>
  <c r="P232" i="9"/>
  <c r="T232" i="9" s="1"/>
  <c r="O266" i="9"/>
  <c r="S266" i="9" s="1"/>
  <c r="P277" i="9"/>
  <c r="T277" i="9" s="1"/>
  <c r="P289" i="9"/>
  <c r="T289" i="9" s="1"/>
  <c r="N301" i="9"/>
  <c r="R301" i="9" s="1"/>
  <c r="V301" i="9" s="1"/>
  <c r="O312" i="9"/>
  <c r="S312" i="9" s="1"/>
  <c r="O324" i="9"/>
  <c r="S324" i="9" s="1"/>
  <c r="N33" i="9"/>
  <c r="O56" i="9"/>
  <c r="S56" i="9" s="1"/>
  <c r="P92" i="9"/>
  <c r="T92" i="9" s="1"/>
  <c r="O128" i="9"/>
  <c r="S128" i="9" s="1"/>
  <c r="N139" i="9"/>
  <c r="R139" i="9" s="1"/>
  <c r="O186" i="9"/>
  <c r="S186" i="9" s="1"/>
  <c r="O244" i="9"/>
  <c r="S244" i="9" s="1"/>
  <c r="N255" i="9"/>
  <c r="R255" i="9" s="1"/>
  <c r="V255" i="9" s="1"/>
  <c r="P266" i="9"/>
  <c r="T266" i="9" s="1"/>
  <c r="O301" i="9"/>
  <c r="S301" i="9" s="1"/>
  <c r="P312" i="9"/>
  <c r="T312" i="9" s="1"/>
  <c r="P324" i="9"/>
  <c r="T324" i="9" s="1"/>
  <c r="P33" i="9"/>
  <c r="T33" i="9" s="1"/>
  <c r="P45" i="9"/>
  <c r="T45" i="9" s="1"/>
  <c r="N58" i="9"/>
  <c r="R58" i="9" s="1"/>
  <c r="P93" i="9"/>
  <c r="T93" i="9" s="1"/>
  <c r="O129" i="9"/>
  <c r="S129" i="9" s="1"/>
  <c r="P165" i="9"/>
  <c r="T165" i="9" s="1"/>
  <c r="N257" i="9"/>
  <c r="R257" i="9" s="1"/>
  <c r="V257" i="9" s="1"/>
  <c r="N280" i="9"/>
  <c r="R280" i="9" s="1"/>
  <c r="O314" i="9"/>
  <c r="S314" i="9" s="1"/>
  <c r="O58" i="9"/>
  <c r="S58" i="9" s="1"/>
  <c r="N118" i="9"/>
  <c r="R118" i="9" s="1"/>
  <c r="O153" i="9"/>
  <c r="S153" i="9" s="1"/>
  <c r="P210" i="9"/>
  <c r="T210" i="9" s="1"/>
  <c r="P245" i="9"/>
  <c r="T245" i="9" s="1"/>
  <c r="N291" i="9"/>
  <c r="P314" i="9"/>
  <c r="T314" i="9" s="1"/>
  <c r="P58" i="9"/>
  <c r="T58" i="9" s="1"/>
  <c r="O25" i="9"/>
  <c r="S25" i="9" s="1"/>
  <c r="O282" i="9"/>
  <c r="S282" i="9" s="1"/>
  <c r="P109" i="9"/>
  <c r="T109" i="9" s="1"/>
  <c r="N261" i="9"/>
  <c r="R261" i="9" s="1"/>
  <c r="P329" i="9"/>
  <c r="T329" i="9" s="1"/>
  <c r="N63" i="9"/>
  <c r="P77" i="9"/>
  <c r="T77" i="9" s="1"/>
  <c r="P229" i="9"/>
  <c r="T229" i="9" s="1"/>
  <c r="N310" i="9"/>
  <c r="R310" i="9" s="1"/>
  <c r="O42" i="9"/>
  <c r="S42" i="9" s="1"/>
  <c r="O137" i="9"/>
  <c r="S137" i="9" s="1"/>
  <c r="P286" i="9"/>
  <c r="T286" i="9" s="1"/>
  <c r="P68" i="9"/>
  <c r="T68" i="9" s="1"/>
  <c r="O45" i="9"/>
  <c r="S45" i="9" s="1"/>
  <c r="O198" i="9"/>
  <c r="S198" i="9" s="1"/>
  <c r="N267" i="9"/>
  <c r="P81" i="9"/>
  <c r="T81" i="9" s="1"/>
  <c r="N129" i="9"/>
  <c r="R129" i="9" s="1"/>
  <c r="P176" i="9"/>
  <c r="T176" i="9" s="1"/>
  <c r="P198" i="9"/>
  <c r="T198" i="9" s="1"/>
  <c r="P222" i="9"/>
  <c r="T222" i="9" s="1"/>
  <c r="P233" i="9"/>
  <c r="T233" i="9" s="1"/>
  <c r="P290" i="9"/>
  <c r="T290" i="9" s="1"/>
  <c r="N314" i="9"/>
  <c r="R314" i="9" s="1"/>
  <c r="V314" i="9" s="1"/>
  <c r="N34" i="9"/>
  <c r="R34" i="9" s="1"/>
  <c r="V34" i="9" s="1"/>
  <c r="P70" i="9"/>
  <c r="T70" i="9" s="1"/>
  <c r="P105" i="9"/>
  <c r="T105" i="9" s="1"/>
  <c r="N153" i="9"/>
  <c r="R153" i="9" s="1"/>
  <c r="O210" i="9"/>
  <c r="S210" i="9" s="1"/>
  <c r="O268" i="9"/>
  <c r="S268" i="9" s="1"/>
  <c r="O302" i="9"/>
  <c r="S302" i="9" s="1"/>
  <c r="O34" i="9"/>
  <c r="S34" i="9" s="1"/>
  <c r="N82" i="9"/>
  <c r="R82" i="9" s="1"/>
  <c r="V82" i="9" s="1"/>
  <c r="N141" i="9"/>
  <c r="R141" i="9" s="1"/>
  <c r="V141" i="9" s="1"/>
  <c r="O188" i="9"/>
  <c r="S188" i="9" s="1"/>
  <c r="N223" i="9"/>
  <c r="O257" i="9"/>
  <c r="S257" i="9" s="1"/>
  <c r="P302" i="9"/>
  <c r="T302" i="9" s="1"/>
  <c r="N23" i="9"/>
  <c r="O82" i="9"/>
  <c r="S82" i="9" s="1"/>
  <c r="N106" i="9"/>
  <c r="R106" i="9" s="1"/>
  <c r="P153" i="9"/>
  <c r="T153" i="9" s="1"/>
  <c r="O177" i="9"/>
  <c r="S177" i="9" s="1"/>
  <c r="O200" i="9"/>
  <c r="S200" i="9" s="1"/>
  <c r="O234" i="9"/>
  <c r="S234" i="9" s="1"/>
  <c r="O49" i="9"/>
  <c r="S49" i="9" s="1"/>
  <c r="N179" i="9"/>
  <c r="R179" i="9" s="1"/>
  <c r="V179" i="9" s="1"/>
  <c r="N318" i="9"/>
  <c r="R318" i="9" s="1"/>
  <c r="P282" i="9"/>
  <c r="T282" i="9" s="1"/>
  <c r="O52" i="9"/>
  <c r="S52" i="9" s="1"/>
  <c r="P330" i="9"/>
  <c r="T330" i="9" s="1"/>
  <c r="N65" i="9"/>
  <c r="R65" i="9" s="1"/>
  <c r="V65" i="9" s="1"/>
  <c r="O217" i="9"/>
  <c r="S217" i="9" s="1"/>
  <c r="P298" i="9"/>
  <c r="T298" i="9" s="1"/>
  <c r="N54" i="9"/>
  <c r="R54" i="9" s="1"/>
  <c r="V54" i="9" s="1"/>
  <c r="P101" i="9"/>
  <c r="T101" i="9" s="1"/>
  <c r="N149" i="9"/>
  <c r="P184" i="9"/>
  <c r="T184" i="9" s="1"/>
  <c r="O310" i="9"/>
  <c r="S310" i="9" s="1"/>
  <c r="N21" i="9"/>
  <c r="R21" i="9" s="1"/>
  <c r="O33" i="9"/>
  <c r="S33" i="9" s="1"/>
  <c r="N45" i="9"/>
  <c r="R45" i="9" s="1"/>
  <c r="P56" i="9"/>
  <c r="T56" i="9" s="1"/>
  <c r="N81" i="9"/>
  <c r="R81" i="9" s="1"/>
  <c r="N104" i="9"/>
  <c r="R104" i="9" s="1"/>
  <c r="O116" i="9"/>
  <c r="S116" i="9" s="1"/>
  <c r="P128" i="9"/>
  <c r="T128" i="9" s="1"/>
  <c r="N151" i="9"/>
  <c r="R151" i="9" s="1"/>
  <c r="N163" i="9"/>
  <c r="R163" i="9" s="1"/>
  <c r="V163" i="9" s="1"/>
  <c r="N176" i="9"/>
  <c r="R176" i="9" s="1"/>
  <c r="P186" i="9"/>
  <c r="T186" i="9" s="1"/>
  <c r="N198" i="9"/>
  <c r="R198" i="9" s="1"/>
  <c r="P209" i="9"/>
  <c r="T209" i="9" s="1"/>
  <c r="N233" i="9"/>
  <c r="R233" i="9" s="1"/>
  <c r="P244" i="9"/>
  <c r="T244" i="9" s="1"/>
  <c r="N290" i="9"/>
  <c r="R290" i="9" s="1"/>
  <c r="P301" i="9"/>
  <c r="T301" i="9" s="1"/>
  <c r="N69" i="9"/>
  <c r="R69" i="9" s="1"/>
  <c r="O81" i="9"/>
  <c r="S81" i="9" s="1"/>
  <c r="N93" i="9"/>
  <c r="R93" i="9" s="1"/>
  <c r="O104" i="9"/>
  <c r="S104" i="9" s="1"/>
  <c r="P116" i="9"/>
  <c r="T116" i="9" s="1"/>
  <c r="O140" i="9"/>
  <c r="S140" i="9" s="1"/>
  <c r="O176" i="9"/>
  <c r="S176" i="9" s="1"/>
  <c r="O222" i="9"/>
  <c r="O233" i="9"/>
  <c r="S233" i="9" s="1"/>
  <c r="N256" i="9"/>
  <c r="R256" i="9" s="1"/>
  <c r="N279" i="9"/>
  <c r="O290" i="9"/>
  <c r="S290" i="9" s="1"/>
  <c r="N325" i="9"/>
  <c r="O22" i="9"/>
  <c r="S22" i="9" s="1"/>
  <c r="O93" i="9"/>
  <c r="S93" i="9" s="1"/>
  <c r="P140" i="9"/>
  <c r="T140" i="9" s="1"/>
  <c r="N187" i="9"/>
  <c r="R187" i="9" s="1"/>
  <c r="N210" i="9"/>
  <c r="R210" i="9" s="1"/>
  <c r="V210" i="9" s="1"/>
  <c r="N245" i="9"/>
  <c r="R245" i="9" s="1"/>
  <c r="V245" i="9" s="1"/>
  <c r="N302" i="9"/>
  <c r="R302" i="9" s="1"/>
  <c r="V302" i="9" s="1"/>
  <c r="P22" i="9"/>
  <c r="T22" i="9" s="1"/>
  <c r="O245" i="9"/>
  <c r="S245" i="9" s="1"/>
  <c r="P326" i="9"/>
  <c r="T326" i="9" s="1"/>
  <c r="N46" i="9"/>
  <c r="R46" i="9" s="1"/>
  <c r="P129" i="9"/>
  <c r="T129" i="9" s="1"/>
  <c r="N177" i="9"/>
  <c r="R177" i="9" s="1"/>
  <c r="N234" i="9"/>
  <c r="R234" i="9" s="1"/>
  <c r="O280" i="9"/>
  <c r="S280" i="9" s="1"/>
  <c r="P34" i="9"/>
  <c r="T34" i="9" s="1"/>
  <c r="N94" i="9"/>
  <c r="R94" i="9" s="1"/>
  <c r="O118" i="9"/>
  <c r="S118" i="9" s="1"/>
  <c r="O141" i="9"/>
  <c r="S141" i="9" s="1"/>
  <c r="N166" i="9"/>
  <c r="R166" i="9" s="1"/>
  <c r="P188" i="9"/>
  <c r="T188" i="9" s="1"/>
  <c r="P257" i="9"/>
  <c r="T257" i="9" s="1"/>
  <c r="P280" i="9"/>
  <c r="T280" i="9" s="1"/>
  <c r="N327" i="9"/>
  <c r="R327" i="9" s="1"/>
  <c r="P225" i="9"/>
  <c r="T225" i="9" s="1"/>
  <c r="O329" i="9"/>
  <c r="S329" i="9" s="1"/>
  <c r="P144" i="9"/>
  <c r="T144" i="9" s="1"/>
  <c r="N237" i="9"/>
  <c r="R237" i="9" s="1"/>
  <c r="P318" i="9"/>
  <c r="N26" i="9"/>
  <c r="R26" i="9" s="1"/>
  <c r="V26" i="9" s="1"/>
  <c r="P157" i="9"/>
  <c r="T157" i="9" s="1"/>
  <c r="O204" i="9"/>
  <c r="S204" i="9" s="1"/>
  <c r="O226" i="9"/>
  <c r="S226" i="9" s="1"/>
  <c r="N283" i="9"/>
  <c r="R283" i="9" s="1"/>
  <c r="P26" i="9"/>
  <c r="T26" i="9" s="1"/>
  <c r="N99" i="9"/>
  <c r="R99" i="9" s="1"/>
  <c r="P146" i="9"/>
  <c r="T146" i="9" s="1"/>
  <c r="P181" i="9"/>
  <c r="T181" i="9" s="1"/>
  <c r="N262" i="9"/>
  <c r="O284" i="9"/>
  <c r="S284" i="9" s="1"/>
  <c r="N160" i="9"/>
  <c r="P241" i="9"/>
  <c r="T241" i="9" s="1"/>
  <c r="N264" i="9"/>
  <c r="R264" i="9" s="1"/>
  <c r="O321" i="9"/>
  <c r="S321" i="9" s="1"/>
  <c r="P17" i="9"/>
  <c r="T17" i="9" s="1"/>
  <c r="N125" i="9"/>
  <c r="R125" i="9" s="1"/>
  <c r="P172" i="9"/>
  <c r="T172" i="9" s="1"/>
  <c r="P217" i="9"/>
  <c r="T217" i="9" s="1"/>
  <c r="P46" i="9"/>
  <c r="T46" i="9" s="1"/>
  <c r="P82" i="9"/>
  <c r="T82" i="9" s="1"/>
  <c r="O94" i="9"/>
  <c r="S94" i="9" s="1"/>
  <c r="O106" i="9"/>
  <c r="S106" i="9" s="1"/>
  <c r="P118" i="9"/>
  <c r="T118" i="9" s="1"/>
  <c r="N130" i="9"/>
  <c r="R130" i="9" s="1"/>
  <c r="P141" i="9"/>
  <c r="T141" i="9" s="1"/>
  <c r="O166" i="9"/>
  <c r="S166" i="9" s="1"/>
  <c r="P177" i="9"/>
  <c r="T177" i="9" s="1"/>
  <c r="P200" i="9"/>
  <c r="T200" i="9" s="1"/>
  <c r="N224" i="9"/>
  <c r="R224" i="9" s="1"/>
  <c r="V224" i="9" s="1"/>
  <c r="P234" i="9"/>
  <c r="T234" i="9" s="1"/>
  <c r="N246" i="9"/>
  <c r="R246" i="9" s="1"/>
  <c r="V246" i="9" s="1"/>
  <c r="N270" i="9"/>
  <c r="R270" i="9" s="1"/>
  <c r="V270" i="9" s="1"/>
  <c r="O292" i="9"/>
  <c r="S292" i="9" s="1"/>
  <c r="N303" i="9"/>
  <c r="R303" i="9" s="1"/>
  <c r="N315" i="9"/>
  <c r="N213" i="9"/>
  <c r="R213" i="9" s="1"/>
  <c r="O317" i="9"/>
  <c r="S317" i="9" s="1"/>
  <c r="P13" i="9"/>
  <c r="T13" i="9" s="1"/>
  <c r="O61" i="9"/>
  <c r="S61" i="9" s="1"/>
  <c r="O84" i="9"/>
  <c r="S84" i="9" s="1"/>
  <c r="O96" i="9"/>
  <c r="S96" i="9" s="1"/>
  <c r="N120" i="9"/>
  <c r="R120" i="9" s="1"/>
  <c r="V120" i="9" s="1"/>
  <c r="N131" i="9"/>
  <c r="O156" i="9"/>
  <c r="S156" i="9" s="1"/>
  <c r="P178" i="9"/>
  <c r="T178" i="9" s="1"/>
  <c r="P201" i="9"/>
  <c r="T201" i="9" s="1"/>
  <c r="P213" i="9"/>
  <c r="T213" i="9" s="1"/>
  <c r="O236" i="9"/>
  <c r="S236" i="9" s="1"/>
  <c r="N248" i="9"/>
  <c r="R248" i="9" s="1"/>
  <c r="N271" i="9"/>
  <c r="R271" i="9" s="1"/>
  <c r="O293" i="9"/>
  <c r="S293" i="9" s="1"/>
  <c r="N305" i="9"/>
  <c r="R305" i="9" s="1"/>
  <c r="P317" i="9"/>
  <c r="T317" i="9" s="1"/>
  <c r="N37" i="9"/>
  <c r="R37" i="9" s="1"/>
  <c r="V37" i="9" s="1"/>
  <c r="N49" i="9"/>
  <c r="R49" i="9" s="1"/>
  <c r="P61" i="9"/>
  <c r="T61" i="9" s="1"/>
  <c r="N73" i="9"/>
  <c r="R73" i="9" s="1"/>
  <c r="P84" i="9"/>
  <c r="T84" i="9" s="1"/>
  <c r="P96" i="9"/>
  <c r="T96" i="9" s="1"/>
  <c r="N109" i="9"/>
  <c r="R109" i="9" s="1"/>
  <c r="O120" i="9"/>
  <c r="S120" i="9" s="1"/>
  <c r="N144" i="9"/>
  <c r="R144" i="9" s="1"/>
  <c r="P156" i="9"/>
  <c r="T156" i="9" s="1"/>
  <c r="N168" i="9"/>
  <c r="R168" i="9" s="1"/>
  <c r="V168" i="9" s="1"/>
  <c r="P190" i="9"/>
  <c r="T190" i="9" s="1"/>
  <c r="O225" i="9"/>
  <c r="S225" i="9" s="1"/>
  <c r="P236" i="9"/>
  <c r="T236" i="9" s="1"/>
  <c r="O248" i="9"/>
  <c r="S248" i="9" s="1"/>
  <c r="N282" i="9"/>
  <c r="R282" i="9" s="1"/>
  <c r="P293" i="9"/>
  <c r="T293" i="9" s="1"/>
  <c r="O305" i="9"/>
  <c r="S305" i="9" s="1"/>
  <c r="N329" i="9"/>
  <c r="R329" i="9" s="1"/>
  <c r="N14" i="9"/>
  <c r="R14" i="9" s="1"/>
  <c r="O109" i="9"/>
  <c r="S109" i="9" s="1"/>
  <c r="P120" i="9"/>
  <c r="T120" i="9" s="1"/>
  <c r="O132" i="9"/>
  <c r="O144" i="9"/>
  <c r="S144" i="9" s="1"/>
  <c r="O168" i="9"/>
  <c r="S168" i="9" s="1"/>
  <c r="N214" i="9"/>
  <c r="R214" i="9" s="1"/>
  <c r="N272" i="9"/>
  <c r="R272" i="9" s="1"/>
  <c r="P305" i="9"/>
  <c r="T305" i="9" s="1"/>
  <c r="P132" i="9"/>
  <c r="T132" i="9" s="1"/>
  <c r="O318" i="9"/>
  <c r="S318" i="9" s="1"/>
  <c r="O121" i="9"/>
  <c r="S121" i="9" s="1"/>
  <c r="N169" i="9"/>
  <c r="R169" i="9" s="1"/>
  <c r="N238" i="9"/>
  <c r="R238" i="9" s="1"/>
  <c r="P261" i="9"/>
  <c r="T261" i="9" s="1"/>
  <c r="N330" i="9"/>
  <c r="R330" i="9" s="1"/>
  <c r="P110" i="9"/>
  <c r="T110" i="9" s="1"/>
  <c r="O134" i="9"/>
  <c r="S134" i="9" s="1"/>
  <c r="N158" i="9"/>
  <c r="R158" i="9" s="1"/>
  <c r="P169" i="9"/>
  <c r="T169" i="9" s="1"/>
  <c r="P238" i="9"/>
  <c r="O273" i="9"/>
  <c r="S273" i="9" s="1"/>
  <c r="P308" i="9"/>
  <c r="T308" i="9" s="1"/>
  <c r="N42" i="9"/>
  <c r="R42" i="9" s="1"/>
  <c r="V42" i="9" s="1"/>
  <c r="N195" i="9"/>
  <c r="R195" i="9" s="1"/>
  <c r="V195" i="9" s="1"/>
  <c r="N253" i="9"/>
  <c r="O286" i="9"/>
  <c r="S286" i="9" s="1"/>
  <c r="N30" i="9"/>
  <c r="R30" i="9" s="1"/>
  <c r="O160" i="9"/>
  <c r="S160" i="9" s="1"/>
  <c r="P206" i="9"/>
  <c r="T206" i="9" s="1"/>
  <c r="O264" i="9"/>
  <c r="S264" i="9" s="1"/>
  <c r="N242" i="9"/>
  <c r="R242" i="9" s="1"/>
  <c r="N78" i="9"/>
  <c r="N230" i="9"/>
  <c r="R230" i="9" s="1"/>
  <c r="V230" i="9" s="1"/>
  <c r="P321" i="9"/>
  <c r="T321" i="9" s="1"/>
  <c r="O54" i="9"/>
  <c r="S54" i="9" s="1"/>
  <c r="N113" i="9"/>
  <c r="P264" i="9"/>
  <c r="T264" i="9" s="1"/>
  <c r="O30" i="9"/>
  <c r="S30" i="9" s="1"/>
  <c r="N299" i="9"/>
  <c r="R299" i="9" s="1"/>
  <c r="N90" i="9"/>
  <c r="R90" i="9" s="1"/>
  <c r="O149" i="9"/>
  <c r="S149" i="9" s="1"/>
  <c r="P65" i="9"/>
  <c r="T65" i="9" s="1"/>
  <c r="O276" i="9"/>
  <c r="S276" i="9" s="1"/>
  <c r="O196" i="9"/>
  <c r="S196" i="9" s="1"/>
  <c r="O90" i="9"/>
  <c r="S90" i="9" s="1"/>
  <c r="P333" i="9"/>
  <c r="T333" i="9" s="1"/>
  <c r="O125" i="9"/>
  <c r="S125" i="9" s="1"/>
  <c r="P310" i="9"/>
  <c r="T310" i="9" s="1"/>
  <c r="P42" i="9"/>
  <c r="T42" i="9" s="1"/>
  <c r="P160" i="9"/>
  <c r="T160" i="9" s="1"/>
  <c r="O253" i="9"/>
  <c r="S253" i="9" s="1"/>
  <c r="P253" i="9"/>
  <c r="T253" i="9" s="1"/>
  <c r="O17" i="9"/>
  <c r="S17" i="9" s="1"/>
  <c r="P137" i="9"/>
  <c r="T137" i="9" s="1"/>
  <c r="Z12" i="9"/>
  <c r="AA12" i="9" s="1"/>
  <c r="Z100" i="9"/>
  <c r="AA100" i="9" s="1"/>
  <c r="Z125" i="9"/>
  <c r="AA125" i="9" s="1"/>
  <c r="Z205" i="9"/>
  <c r="AA205" i="9" s="1"/>
  <c r="Z68" i="9"/>
  <c r="AA68" i="9" s="1"/>
  <c r="Z226" i="9"/>
  <c r="AA226" i="9" s="1"/>
  <c r="Z107" i="9"/>
  <c r="AA107" i="9" s="1"/>
  <c r="Z150" i="9"/>
  <c r="AA150" i="9" s="1"/>
  <c r="Z20" i="9"/>
  <c r="AA20" i="9" s="1"/>
  <c r="Z178" i="9"/>
  <c r="AA178" i="9" s="1"/>
  <c r="Z23" i="9"/>
  <c r="AA23" i="9" s="1"/>
  <c r="Z117" i="9"/>
  <c r="AA117" i="9" s="1"/>
  <c r="Z46" i="9"/>
  <c r="AA46" i="9" s="1"/>
  <c r="Z49" i="9"/>
  <c r="AA49" i="9" s="1"/>
  <c r="Z147" i="9"/>
  <c r="AA147" i="9" s="1"/>
  <c r="Z155" i="9"/>
  <c r="AA155" i="9" s="1"/>
  <c r="AA10" i="9"/>
  <c r="Z116" i="9"/>
  <c r="AA116" i="9" s="1"/>
  <c r="Z96" i="9"/>
  <c r="AA96" i="9" s="1"/>
  <c r="Z93" i="9"/>
  <c r="AA93" i="9" s="1"/>
  <c r="Z201" i="9"/>
  <c r="AA201" i="9" s="1"/>
  <c r="Z215" i="9"/>
  <c r="AA215" i="9" s="1"/>
  <c r="Z65" i="9"/>
  <c r="AA65" i="9" s="1"/>
  <c r="Z118" i="9"/>
  <c r="AA118" i="9" s="1"/>
  <c r="Z193" i="9"/>
  <c r="AA193" i="9" s="1"/>
  <c r="Z78" i="9"/>
  <c r="AA78" i="9" s="1"/>
  <c r="Z90" i="9"/>
  <c r="AA90" i="9" s="1"/>
  <c r="Z219" i="9"/>
  <c r="AA219" i="9" s="1"/>
  <c r="B339" i="9"/>
  <c r="B341" i="9"/>
  <c r="B336" i="9"/>
  <c r="B338" i="9"/>
  <c r="B340" i="9"/>
  <c r="B337" i="9"/>
  <c r="C339" i="9"/>
  <c r="C336" i="9"/>
  <c r="C338" i="9"/>
  <c r="C340" i="9"/>
  <c r="C337" i="9"/>
  <c r="Z141" i="9"/>
  <c r="AA141" i="9" s="1"/>
  <c r="Z169" i="9"/>
  <c r="AA169" i="9" s="1"/>
  <c r="Z210" i="9"/>
  <c r="AA210" i="9" s="1"/>
  <c r="Z18" i="9"/>
  <c r="AA18" i="9" s="1"/>
  <c r="Z152" i="9"/>
  <c r="AA152" i="9" s="1"/>
  <c r="Z59" i="9"/>
  <c r="AA59" i="9" s="1"/>
  <c r="G339" i="9"/>
  <c r="G341" i="9"/>
  <c r="G336" i="9"/>
  <c r="G338" i="9"/>
  <c r="G340" i="9"/>
  <c r="G337" i="9"/>
  <c r="Z185" i="9"/>
  <c r="AA185" i="9" s="1"/>
  <c r="M341" i="9"/>
  <c r="M336" i="9"/>
  <c r="M338" i="9"/>
  <c r="M340" i="9"/>
  <c r="M337" i="9"/>
  <c r="M339" i="9"/>
  <c r="Z87" i="9"/>
  <c r="AA87" i="9" s="1"/>
  <c r="Z249" i="9"/>
  <c r="AA249" i="9" s="1"/>
  <c r="K341" i="9"/>
  <c r="K336" i="9"/>
  <c r="K338" i="9"/>
  <c r="K340" i="9"/>
  <c r="K337" i="9"/>
  <c r="K339" i="9"/>
  <c r="Z279" i="9"/>
  <c r="AA279" i="9" s="1"/>
  <c r="Z13" i="9"/>
  <c r="AA13" i="9" s="1"/>
  <c r="Z94" i="9"/>
  <c r="AA94" i="9" s="1"/>
  <c r="Z19" i="9"/>
  <c r="AA19" i="9" s="1"/>
  <c r="Z161" i="9"/>
  <c r="AA161" i="9" s="1"/>
  <c r="Z119" i="9"/>
  <c r="AA119" i="9" s="1"/>
  <c r="Z42" i="9"/>
  <c r="AA42" i="9" s="1"/>
  <c r="Z186" i="9"/>
  <c r="AA186" i="9" s="1"/>
  <c r="Z221" i="9"/>
  <c r="AA221" i="9" s="1"/>
  <c r="Z75" i="9"/>
  <c r="AA75" i="9" s="1"/>
  <c r="Z200" i="9"/>
  <c r="AA200" i="9" s="1"/>
  <c r="Z225" i="9"/>
  <c r="AA225" i="9" s="1"/>
  <c r="Z64" i="9"/>
  <c r="AA64" i="9" s="1"/>
  <c r="Z83" i="9"/>
  <c r="AA83" i="9" s="1"/>
  <c r="Z30" i="9"/>
  <c r="AA30" i="9" s="1"/>
  <c r="Z151" i="9"/>
  <c r="AA151" i="9" s="1"/>
  <c r="Z188" i="9"/>
  <c r="AA188" i="9" s="1"/>
  <c r="Z98" i="9"/>
  <c r="AA98" i="9" s="1"/>
  <c r="Z127" i="9"/>
  <c r="AA127" i="9" s="1"/>
  <c r="Z237" i="9"/>
  <c r="AA237" i="9" s="1"/>
  <c r="Z95" i="9"/>
  <c r="AA95" i="9" s="1"/>
  <c r="Z165" i="9"/>
  <c r="AA165" i="9" s="1"/>
  <c r="Z74" i="9"/>
  <c r="AA74" i="9" s="1"/>
  <c r="Z123" i="9"/>
  <c r="AA123" i="9" s="1"/>
  <c r="Z144" i="9"/>
  <c r="AA144" i="9" s="1"/>
  <c r="Z47" i="9"/>
  <c r="AA47" i="9" s="1"/>
  <c r="Z184" i="9"/>
  <c r="AA184" i="9" s="1"/>
  <c r="Z251" i="9"/>
  <c r="AA251" i="9" s="1"/>
  <c r="Z41" i="9"/>
  <c r="AA41" i="9" s="1"/>
  <c r="Z248" i="9"/>
  <c r="AA248" i="9" s="1"/>
  <c r="Z233" i="9"/>
  <c r="AA233" i="9" s="1"/>
  <c r="Z280" i="9"/>
  <c r="AA280" i="9" s="1"/>
  <c r="Z295" i="9"/>
  <c r="AA295" i="9" s="1"/>
  <c r="Z202" i="9"/>
  <c r="AA202" i="9" s="1"/>
  <c r="Z216" i="9"/>
  <c r="AA216" i="9" s="1"/>
  <c r="Z234" i="9"/>
  <c r="AA234" i="9" s="1"/>
  <c r="Z263" i="9"/>
  <c r="AA263" i="9" s="1"/>
  <c r="Z182" i="9"/>
  <c r="AA182" i="9" s="1"/>
  <c r="Z250" i="9"/>
  <c r="AA250" i="9" s="1"/>
  <c r="Z57" i="9"/>
  <c r="AA57" i="9" s="1"/>
  <c r="Z277" i="9"/>
  <c r="AA277" i="9" s="1"/>
  <c r="Z261" i="9"/>
  <c r="AA261" i="9" s="1"/>
  <c r="Z189" i="9"/>
  <c r="AA189" i="9" s="1"/>
  <c r="Z25" i="9"/>
  <c r="AA25" i="9" s="1"/>
  <c r="Z91" i="9"/>
  <c r="AA91" i="9" s="1"/>
  <c r="Z120" i="9"/>
  <c r="AA120" i="9" s="1"/>
  <c r="Z168" i="9"/>
  <c r="AA168" i="9" s="1"/>
  <c r="Z217" i="9"/>
  <c r="AA217" i="9" s="1"/>
  <c r="Z264" i="9"/>
  <c r="AA264" i="9" s="1"/>
  <c r="Z177" i="9"/>
  <c r="AA177" i="9" s="1"/>
  <c r="Z154" i="9"/>
  <c r="AA154" i="9" s="1"/>
  <c r="Z183" i="9"/>
  <c r="AA183" i="9" s="1"/>
  <c r="Z282" i="9"/>
  <c r="AA282" i="9" s="1"/>
  <c r="Z293" i="9"/>
  <c r="AA293" i="9" s="1"/>
  <c r="Z266" i="9"/>
  <c r="AA266" i="9" s="1"/>
  <c r="Z218" i="9"/>
  <c r="AA218" i="9" s="1"/>
  <c r="Z230" i="9"/>
  <c r="AA230" i="9" s="1"/>
  <c r="Z247" i="9"/>
  <c r="AA247" i="9" s="1"/>
  <c r="Z253" i="9"/>
  <c r="AA253" i="9" s="1"/>
  <c r="Z269" i="9"/>
  <c r="AA269" i="9" s="1"/>
  <c r="Z285" i="9"/>
  <c r="AA285" i="9" s="1"/>
  <c r="Z301" i="9"/>
  <c r="AA301" i="9" s="1"/>
  <c r="Z317" i="9"/>
  <c r="AA317" i="9" s="1"/>
  <c r="Z333" i="9"/>
  <c r="AA333" i="9" s="1"/>
  <c r="V303" i="9" l="1"/>
  <c r="V118" i="9"/>
  <c r="W118" i="9" s="1"/>
  <c r="V263" i="9"/>
  <c r="V142" i="9"/>
  <c r="W142" i="9" s="1"/>
  <c r="V19" i="9"/>
  <c r="V229" i="9"/>
  <c r="W229" i="9" s="1"/>
  <c r="V119" i="9"/>
  <c r="W119" i="9" s="1"/>
  <c r="V256" i="9"/>
  <c r="V280" i="9"/>
  <c r="V312" i="9"/>
  <c r="V192" i="9"/>
  <c r="W192" i="9" s="1"/>
  <c r="V209" i="9"/>
  <c r="W209" i="9" s="1"/>
  <c r="V326" i="9"/>
  <c r="V144" i="9"/>
  <c r="V322" i="9"/>
  <c r="W322" i="9" s="1"/>
  <c r="V309" i="9"/>
  <c r="V196" i="9"/>
  <c r="V258" i="9"/>
  <c r="W258" i="9" s="1"/>
  <c r="V164" i="9"/>
  <c r="W164" i="9" s="1"/>
  <c r="V98" i="9"/>
  <c r="V287" i="9"/>
  <c r="V86" i="9"/>
  <c r="W86" i="9" s="1"/>
  <c r="V265" i="9"/>
  <c r="V305" i="9"/>
  <c r="W305" i="9" s="1"/>
  <c r="V218" i="9"/>
  <c r="V14" i="9"/>
  <c r="V88" i="9"/>
  <c r="V145" i="9"/>
  <c r="V36" i="9"/>
  <c r="V329" i="9"/>
  <c r="V81" i="9"/>
  <c r="W81" i="9" s="1"/>
  <c r="V96" i="9"/>
  <c r="V284" i="9"/>
  <c r="W284" i="9" s="1"/>
  <c r="V150" i="9"/>
  <c r="V235" i="9"/>
  <c r="W235" i="9" s="1"/>
  <c r="V304" i="9"/>
  <c r="V20" i="9"/>
  <c r="W20" i="9" s="1"/>
  <c r="V187" i="9"/>
  <c r="V80" i="9"/>
  <c r="W80" i="9" s="1"/>
  <c r="V67" i="9"/>
  <c r="V260" i="9"/>
  <c r="W260" i="9" s="1"/>
  <c r="V30" i="9"/>
  <c r="W30" i="9" s="1"/>
  <c r="V283" i="9"/>
  <c r="V153" i="9"/>
  <c r="W153" i="9" s="1"/>
  <c r="V91" i="9"/>
  <c r="V298" i="9"/>
  <c r="W298" i="9" s="1"/>
  <c r="V275" i="9"/>
  <c r="W275" i="9" s="1"/>
  <c r="V152" i="9"/>
  <c r="W152" i="9" s="1"/>
  <c r="V61" i="9"/>
  <c r="W61" i="9" s="1"/>
  <c r="V269" i="9"/>
  <c r="W269" i="9" s="1"/>
  <c r="V136" i="9"/>
  <c r="W136" i="9" s="1"/>
  <c r="V252" i="9"/>
  <c r="W252" i="9" s="1"/>
  <c r="V104" i="9"/>
  <c r="V197" i="9"/>
  <c r="W197" i="9" s="1"/>
  <c r="V101" i="9"/>
  <c r="W101" i="9" s="1"/>
  <c r="V202" i="9"/>
  <c r="W202" i="9" s="1"/>
  <c r="I202" i="10" s="1"/>
  <c r="V292" i="9"/>
  <c r="V242" i="9"/>
  <c r="V161" i="9"/>
  <c r="V199" i="9"/>
  <c r="V138" i="9"/>
  <c r="W138" i="9" s="1"/>
  <c r="V53" i="9"/>
  <c r="W53" i="9" s="1"/>
  <c r="V276" i="9"/>
  <c r="W276" i="9" s="1"/>
  <c r="V99" i="9"/>
  <c r="W99" i="9" s="1"/>
  <c r="V45" i="9"/>
  <c r="W45" i="9" s="1"/>
  <c r="V17" i="9"/>
  <c r="W17" i="9" s="1"/>
  <c r="V77" i="9"/>
  <c r="V268" i="9"/>
  <c r="W268" i="9" s="1"/>
  <c r="V282" i="9"/>
  <c r="W282" i="9" s="1"/>
  <c r="I282" i="10" s="1"/>
  <c r="V201" i="9"/>
  <c r="W201" i="9" s="1"/>
  <c r="V285" i="9"/>
  <c r="W285" i="9" s="1"/>
  <c r="V213" i="9"/>
  <c r="W213" i="9" s="1"/>
  <c r="V21" i="9"/>
  <c r="V55" i="9"/>
  <c r="W55" i="9" s="1"/>
  <c r="V43" i="9"/>
  <c r="W43" i="9" s="1"/>
  <c r="V333" i="9"/>
  <c r="W333" i="9" s="1"/>
  <c r="V178" i="9"/>
  <c r="V51" i="9"/>
  <c r="W51" i="9" s="1"/>
  <c r="V259" i="9"/>
  <c r="W259" i="9" s="1"/>
  <c r="V50" i="9"/>
  <c r="V157" i="9"/>
  <c r="W157" i="9" s="1"/>
  <c r="V15" i="9"/>
  <c r="W15" i="9" s="1"/>
  <c r="V74" i="9"/>
  <c r="W74" i="9" s="1"/>
  <c r="V123" i="9"/>
  <c r="V228" i="9"/>
  <c r="W228" i="9" s="1"/>
  <c r="V180" i="9"/>
  <c r="W180" i="9" s="1"/>
  <c r="V327" i="9"/>
  <c r="W327" i="9" s="1"/>
  <c r="I327" i="10" s="1"/>
  <c r="V129" i="9"/>
  <c r="W129" i="9" s="1"/>
  <c r="V58" i="9"/>
  <c r="V207" i="9"/>
  <c r="V250" i="9"/>
  <c r="W250" i="9" s="1"/>
  <c r="V172" i="9"/>
  <c r="W172" i="9" s="1"/>
  <c r="V330" i="9"/>
  <c r="V185" i="9"/>
  <c r="W185" i="9" s="1"/>
  <c r="V137" i="9"/>
  <c r="W137" i="9" s="1"/>
  <c r="V194" i="9"/>
  <c r="V167" i="9"/>
  <c r="W167" i="9" s="1"/>
  <c r="V200" i="9"/>
  <c r="W200" i="9" s="1"/>
  <c r="V95" i="9"/>
  <c r="W95" i="9" s="1"/>
  <c r="V156" i="9"/>
  <c r="W156" i="9" s="1"/>
  <c r="V115" i="9"/>
  <c r="W115" i="9" s="1"/>
  <c r="V173" i="9"/>
  <c r="W173" i="9" s="1"/>
  <c r="V182" i="9"/>
  <c r="W182" i="9" s="1"/>
  <c r="V121" i="9"/>
  <c r="V189" i="9"/>
  <c r="W189" i="9" s="1"/>
  <c r="V317" i="9"/>
  <c r="W317" i="9" s="1"/>
  <c r="V79" i="9"/>
  <c r="W79" i="9" s="1"/>
  <c r="V148" i="9"/>
  <c r="W148" i="9" s="1"/>
  <c r="V93" i="9"/>
  <c r="V69" i="9"/>
  <c r="V181" i="9"/>
  <c r="W181" i="9" s="1"/>
  <c r="V307" i="9"/>
  <c r="V306" i="9"/>
  <c r="W306" i="9" s="1"/>
  <c r="V140" i="9"/>
  <c r="W140" i="9" s="1"/>
  <c r="V319" i="9"/>
  <c r="W319" i="9" s="1"/>
  <c r="V154" i="9"/>
  <c r="V184" i="9"/>
  <c r="W184" i="9" s="1"/>
  <c r="V290" i="9"/>
  <c r="V147" i="9"/>
  <c r="W147" i="9" s="1"/>
  <c r="V48" i="9"/>
  <c r="W48" i="9" s="1"/>
  <c r="V124" i="9"/>
  <c r="V94" i="9"/>
  <c r="V102" i="9"/>
  <c r="W102" i="9" s="1"/>
  <c r="V274" i="9"/>
  <c r="W274" i="9" s="1"/>
  <c r="V296" i="9"/>
  <c r="W296" i="9" s="1"/>
  <c r="V110" i="9"/>
  <c r="W110" i="9" s="1"/>
  <c r="V165" i="9"/>
  <c r="W165" i="9" s="1"/>
  <c r="V116" i="9"/>
  <c r="V273" i="9"/>
  <c r="V155" i="9"/>
  <c r="W155" i="9" s="1"/>
  <c r="V108" i="9"/>
  <c r="W108" i="9" s="1"/>
  <c r="V212" i="9"/>
  <c r="W212" i="9" s="1"/>
  <c r="V231" i="9"/>
  <c r="W231" i="9" s="1"/>
  <c r="V323" i="9"/>
  <c r="W323" i="9" s="1"/>
  <c r="V72" i="9"/>
  <c r="W72" i="9" s="1"/>
  <c r="V241" i="9"/>
  <c r="W241" i="9" s="1"/>
  <c r="V240" i="9"/>
  <c r="W240" i="9" s="1"/>
  <c r="V100" i="9"/>
  <c r="W100" i="9" s="1"/>
  <c r="V73" i="9"/>
  <c r="V114" i="9"/>
  <c r="W114" i="9" s="1"/>
  <c r="V299" i="9"/>
  <c r="V92" i="9"/>
  <c r="W92" i="9" s="1"/>
  <c r="V237" i="9"/>
  <c r="W237" i="9" s="1"/>
  <c r="V158" i="9"/>
  <c r="W158" i="9" s="1"/>
  <c r="V49" i="9"/>
  <c r="V25" i="9"/>
  <c r="W25" i="9" s="1"/>
  <c r="V106" i="9"/>
  <c r="V125" i="9"/>
  <c r="W125" i="9" s="1"/>
  <c r="V311" i="9"/>
  <c r="W311" i="9" s="1"/>
  <c r="V203" i="9"/>
  <c r="W203" i="9" s="1"/>
  <c r="V35" i="9"/>
  <c r="W35" i="9" s="1"/>
  <c r="V313" i="9"/>
  <c r="V297" i="9"/>
  <c r="V221" i="9"/>
  <c r="V84" i="9"/>
  <c r="V112" i="9"/>
  <c r="W112" i="9" s="1"/>
  <c r="V22" i="9"/>
  <c r="W22" i="9" s="1"/>
  <c r="V166" i="9"/>
  <c r="W166" i="9" s="1"/>
  <c r="V233" i="9"/>
  <c r="W233" i="9" s="1"/>
  <c r="V248" i="9"/>
  <c r="W248" i="9" s="1"/>
  <c r="V198" i="9"/>
  <c r="V18" i="9"/>
  <c r="W18" i="9" s="1"/>
  <c r="V215" i="9"/>
  <c r="W215" i="9" s="1"/>
  <c r="V24" i="9"/>
  <c r="W24" i="9" s="1"/>
  <c r="V278" i="9"/>
  <c r="W278" i="9" s="1"/>
  <c r="V211" i="9"/>
  <c r="W211" i="9" s="1"/>
  <c r="V169" i="9"/>
  <c r="W169" i="9" s="1"/>
  <c r="V272" i="9"/>
  <c r="V75" i="9"/>
  <c r="W75" i="9" s="1"/>
  <c r="V105" i="9"/>
  <c r="V177" i="9"/>
  <c r="W177" i="9" s="1"/>
  <c r="V46" i="9"/>
  <c r="V27" i="9"/>
  <c r="W27" i="9" s="1"/>
  <c r="V328" i="9"/>
  <c r="V109" i="9"/>
  <c r="W109" i="9" s="1"/>
  <c r="V271" i="9"/>
  <c r="V90" i="9"/>
  <c r="W90" i="9" s="1"/>
  <c r="V310" i="9"/>
  <c r="W310" i="9" s="1"/>
  <c r="V59" i="9"/>
  <c r="V176" i="9"/>
  <c r="W176" i="9" s="1"/>
  <c r="V264" i="9"/>
  <c r="W264" i="9" s="1"/>
  <c r="V190" i="9"/>
  <c r="V130" i="9"/>
  <c r="W130" i="9" s="1"/>
  <c r="V111" i="9"/>
  <c r="W111" i="9" s="1"/>
  <c r="V234" i="9"/>
  <c r="V139" i="9"/>
  <c r="V47" i="9"/>
  <c r="W47" i="9" s="1"/>
  <c r="V214" i="9"/>
  <c r="W214" i="9" s="1"/>
  <c r="V289" i="9"/>
  <c r="W289" i="9" s="1"/>
  <c r="V277" i="9"/>
  <c r="W277" i="9" s="1"/>
  <c r="V89" i="9"/>
  <c r="W89" i="9" s="1"/>
  <c r="V324" i="9"/>
  <c r="W324" i="9" s="1"/>
  <c r="V151" i="9"/>
  <c r="W151" i="9" s="1"/>
  <c r="V261" i="9"/>
  <c r="W261" i="9" s="1"/>
  <c r="V206" i="9"/>
  <c r="W206" i="9" s="1"/>
  <c r="V97" i="9"/>
  <c r="W97" i="9" s="1"/>
  <c r="V70" i="9"/>
  <c r="V316" i="9"/>
  <c r="V232" i="9"/>
  <c r="W232" i="9" s="1"/>
  <c r="V219" i="9"/>
  <c r="W219" i="9" s="1"/>
  <c r="V321" i="9"/>
  <c r="W321" i="9" s="1"/>
  <c r="V29" i="9"/>
  <c r="V146" i="9"/>
  <c r="W146" i="9" s="1"/>
  <c r="V52" i="9"/>
  <c r="W52" i="9" s="1"/>
  <c r="W326" i="9"/>
  <c r="W41" i="9"/>
  <c r="W303" i="9"/>
  <c r="I303" i="10" s="1"/>
  <c r="W19" i="9"/>
  <c r="W255" i="9"/>
  <c r="W103" i="9"/>
  <c r="W31" i="9"/>
  <c r="W54" i="9"/>
  <c r="R288" i="9"/>
  <c r="V288" i="9" s="1"/>
  <c r="W161" i="9"/>
  <c r="W283" i="9"/>
  <c r="W91" i="9"/>
  <c r="R66" i="9"/>
  <c r="V66" i="9" s="1"/>
  <c r="R12" i="9"/>
  <c r="V12" i="9" s="1"/>
  <c r="R315" i="9"/>
  <c r="V315" i="9" s="1"/>
  <c r="R39" i="9"/>
  <c r="V39" i="9" s="1"/>
  <c r="R244" i="9"/>
  <c r="V244" i="9" s="1"/>
  <c r="R253" i="9"/>
  <c r="V253" i="9" s="1"/>
  <c r="R325" i="9"/>
  <c r="V325" i="9" s="1"/>
  <c r="W236" i="9"/>
  <c r="W195" i="9"/>
  <c r="R149" i="9"/>
  <c r="V149" i="9" s="1"/>
  <c r="W34" i="9"/>
  <c r="R295" i="9"/>
  <c r="W227" i="9"/>
  <c r="W313" i="9"/>
  <c r="W123" i="9"/>
  <c r="W13" i="9"/>
  <c r="W107" i="9"/>
  <c r="R11" i="9"/>
  <c r="V11" i="9" s="1"/>
  <c r="R134" i="9"/>
  <c r="V134" i="9" s="1"/>
  <c r="R28" i="9"/>
  <c r="V28" i="9" s="1"/>
  <c r="W175" i="9"/>
  <c r="W312" i="9"/>
  <c r="T238" i="9"/>
  <c r="V238" i="9" s="1"/>
  <c r="W224" i="9"/>
  <c r="W98" i="9"/>
  <c r="R262" i="9"/>
  <c r="V262" i="9" s="1"/>
  <c r="W49" i="9"/>
  <c r="W56" i="9"/>
  <c r="W170" i="9"/>
  <c r="W193" i="9"/>
  <c r="R126" i="9"/>
  <c r="V126" i="9" s="1"/>
  <c r="W270" i="9"/>
  <c r="W58" i="9"/>
  <c r="W93" i="9"/>
  <c r="W144" i="9"/>
  <c r="W124" i="9"/>
  <c r="R279" i="9"/>
  <c r="V279" i="9" s="1"/>
  <c r="R286" i="9"/>
  <c r="V286" i="9" s="1"/>
  <c r="R32" i="9"/>
  <c r="V32" i="9" s="1"/>
  <c r="W330" i="9"/>
  <c r="W179" i="9"/>
  <c r="W106" i="9"/>
  <c r="R127" i="9"/>
  <c r="V127" i="9" s="1"/>
  <c r="R320" i="9"/>
  <c r="V320" i="9" s="1"/>
  <c r="W77" i="9"/>
  <c r="W94" i="9"/>
  <c r="W234" i="9"/>
  <c r="W198" i="9"/>
  <c r="W105" i="9"/>
  <c r="R78" i="9"/>
  <c r="V78" i="9" s="1"/>
  <c r="R71" i="9"/>
  <c r="V71" i="9" s="1"/>
  <c r="R23" i="9"/>
  <c r="V23" i="9" s="1"/>
  <c r="W128" i="9"/>
  <c r="R64" i="9"/>
  <c r="V64" i="9" s="1"/>
  <c r="W297" i="9"/>
  <c r="W221" i="9"/>
  <c r="W84" i="9"/>
  <c r="S281" i="9"/>
  <c r="V281" i="9" s="1"/>
  <c r="R291" i="9"/>
  <c r="V291" i="9" s="1"/>
  <c r="R205" i="9"/>
  <c r="V205" i="9" s="1"/>
  <c r="W207" i="9"/>
  <c r="W194" i="9"/>
  <c r="W290" i="9"/>
  <c r="W271" i="9"/>
  <c r="R63" i="9"/>
  <c r="V63" i="9" s="1"/>
  <c r="W265" i="9"/>
  <c r="R191" i="9"/>
  <c r="V191" i="9" s="1"/>
  <c r="R294" i="9"/>
  <c r="V294" i="9" s="1"/>
  <c r="R332" i="9"/>
  <c r="V332" i="9" s="1"/>
  <c r="R76" i="9"/>
  <c r="V76" i="9" s="1"/>
  <c r="W26" i="9"/>
  <c r="T318" i="9"/>
  <c r="V318" i="9" s="1"/>
  <c r="U10" i="9"/>
  <c r="V10" i="9" s="1"/>
  <c r="W10" i="9" s="1"/>
  <c r="Q340" i="9"/>
  <c r="Q338" i="9"/>
  <c r="Q339" i="9"/>
  <c r="Q336" i="9"/>
  <c r="Q337" i="9"/>
  <c r="W226" i="9"/>
  <c r="W73" i="9"/>
  <c r="W65" i="9"/>
  <c r="W273" i="9"/>
  <c r="W272" i="9"/>
  <c r="R113" i="9"/>
  <c r="V113" i="9" s="1"/>
  <c r="W46" i="9"/>
  <c r="W163" i="9"/>
  <c r="W257" i="9"/>
  <c r="R254" i="9"/>
  <c r="V254" i="9" s="1"/>
  <c r="R217" i="9"/>
  <c r="V217" i="9" s="1"/>
  <c r="R225" i="9"/>
  <c r="V225" i="9" s="1"/>
  <c r="R162" i="9"/>
  <c r="V162" i="9" s="1"/>
  <c r="R68" i="9"/>
  <c r="V68" i="9" s="1"/>
  <c r="R208" i="9"/>
  <c r="V208" i="9" s="1"/>
  <c r="W314" i="9"/>
  <c r="W309" i="9"/>
  <c r="W266" i="9"/>
  <c r="S132" i="9"/>
  <c r="V132" i="9" s="1"/>
  <c r="R223" i="9"/>
  <c r="V223" i="9" s="1"/>
  <c r="R33" i="9"/>
  <c r="R135" i="9"/>
  <c r="V135" i="9" s="1"/>
  <c r="R143" i="9"/>
  <c r="V143" i="9" s="1"/>
  <c r="W256" i="9"/>
  <c r="W70" i="9"/>
  <c r="W316" i="9"/>
  <c r="I316" i="10" s="1"/>
  <c r="R60" i="9"/>
  <c r="V60" i="9" s="1"/>
  <c r="R62" i="9"/>
  <c r="W187" i="9"/>
  <c r="R334" i="9"/>
  <c r="V334" i="9" s="1"/>
  <c r="S222" i="9"/>
  <c r="V222" i="9" s="1"/>
  <c r="R267" i="9"/>
  <c r="V267" i="9" s="1"/>
  <c r="W299" i="9"/>
  <c r="R131" i="9"/>
  <c r="V131" i="9" s="1"/>
  <c r="R160" i="9"/>
  <c r="R85" i="9"/>
  <c r="V85" i="9" s="1"/>
  <c r="T159" i="9"/>
  <c r="V159" i="9" s="1"/>
  <c r="R308" i="9"/>
  <c r="W29" i="9"/>
  <c r="W293" i="9"/>
  <c r="W328" i="9"/>
  <c r="W190" i="9"/>
  <c r="W204" i="9"/>
  <c r="W174" i="9"/>
  <c r="W196" i="9"/>
  <c r="I196" i="10" s="1"/>
  <c r="W304" i="9"/>
  <c r="W122" i="9"/>
  <c r="W249" i="9"/>
  <c r="W247" i="9"/>
  <c r="W57" i="9"/>
  <c r="W188" i="9"/>
  <c r="W199" i="9"/>
  <c r="W302" i="9"/>
  <c r="W36" i="9"/>
  <c r="W245" i="9"/>
  <c r="W218" i="9"/>
  <c r="W88" i="9"/>
  <c r="I88" i="10" s="1"/>
  <c r="W331" i="9"/>
  <c r="I331" i="10" s="1"/>
  <c r="W38" i="9"/>
  <c r="W40" i="9"/>
  <c r="W117" i="9"/>
  <c r="W16" i="9"/>
  <c r="W145" i="9"/>
  <c r="I145" i="10" s="1"/>
  <c r="W83" i="9"/>
  <c r="P336" i="9"/>
  <c r="P339" i="9"/>
  <c r="P337" i="9"/>
  <c r="P338" i="9"/>
  <c r="P340" i="9"/>
  <c r="W263" i="9"/>
  <c r="W186" i="9"/>
  <c r="W280" i="9"/>
  <c r="W69" i="9"/>
  <c r="W307" i="9"/>
  <c r="I307" i="10" s="1"/>
  <c r="W150" i="9"/>
  <c r="W216" i="9"/>
  <c r="W246" i="9"/>
  <c r="W239" i="9"/>
  <c r="W141" i="9"/>
  <c r="W154" i="9"/>
  <c r="W171" i="9"/>
  <c r="W287" i="9"/>
  <c r="W230" i="9"/>
  <c r="I230" i="10" s="1"/>
  <c r="W82" i="9"/>
  <c r="W242" i="9"/>
  <c r="I242" i="10" s="1"/>
  <c r="W300" i="9"/>
  <c r="W14" i="9"/>
  <c r="W210" i="9"/>
  <c r="W87" i="9"/>
  <c r="W116" i="9"/>
  <c r="W301" i="9"/>
  <c r="W292" i="9"/>
  <c r="W329" i="9"/>
  <c r="W96" i="9"/>
  <c r="W183" i="9"/>
  <c r="W251" i="9"/>
  <c r="W133" i="9"/>
  <c r="W168" i="9"/>
  <c r="W220" i="9"/>
  <c r="W44" i="9"/>
  <c r="W104" i="9"/>
  <c r="W178" i="9"/>
  <c r="W42" i="9"/>
  <c r="O336" i="9"/>
  <c r="O337" i="9"/>
  <c r="O339" i="9"/>
  <c r="O338" i="9"/>
  <c r="O340" i="9"/>
  <c r="W243" i="9"/>
  <c r="Z341" i="9"/>
  <c r="AA338" i="9"/>
  <c r="AA337" i="9"/>
  <c r="AA339" i="9"/>
  <c r="AA336" i="9"/>
  <c r="L341" i="9"/>
  <c r="L336" i="9"/>
  <c r="L338" i="9"/>
  <c r="L340" i="9"/>
  <c r="L337" i="9"/>
  <c r="L339" i="9"/>
  <c r="Z339" i="9"/>
  <c r="N336" i="9"/>
  <c r="N338" i="9"/>
  <c r="N340" i="9"/>
  <c r="N337" i="9"/>
  <c r="N339" i="9"/>
  <c r="Z337" i="9"/>
  <c r="Z338" i="9"/>
  <c r="Z336" i="9"/>
  <c r="E7" i="2"/>
  <c r="N11" i="8"/>
  <c r="O11" i="8" s="1"/>
  <c r="N12" i="8"/>
  <c r="O12" i="8" s="1"/>
  <c r="N13" i="8"/>
  <c r="N14" i="8"/>
  <c r="O14" i="8" s="1"/>
  <c r="N24" i="8"/>
  <c r="O24" i="8"/>
  <c r="N25" i="8"/>
  <c r="O25" i="8" s="1"/>
  <c r="N36" i="8"/>
  <c r="O36" i="8"/>
  <c r="N37" i="8"/>
  <c r="O37" i="8"/>
  <c r="N38" i="8"/>
  <c r="O38" i="8" s="1"/>
  <c r="N56" i="8"/>
  <c r="O56" i="8" s="1"/>
  <c r="N59" i="8"/>
  <c r="O59" i="8" s="1"/>
  <c r="N60" i="8"/>
  <c r="O60" i="8"/>
  <c r="N72" i="8"/>
  <c r="O72" i="8"/>
  <c r="N73" i="8"/>
  <c r="O73" i="8"/>
  <c r="N77" i="8"/>
  <c r="O77" i="8"/>
  <c r="N78" i="8"/>
  <c r="O78" i="8" s="1"/>
  <c r="N89" i="8"/>
  <c r="O89" i="8"/>
  <c r="N90" i="8"/>
  <c r="O90" i="8"/>
  <c r="N91" i="8"/>
  <c r="O91" i="8" s="1"/>
  <c r="N96" i="8"/>
  <c r="O96" i="8" s="1"/>
  <c r="N102" i="8"/>
  <c r="O102" i="8" s="1"/>
  <c r="N109" i="8"/>
  <c r="O109" i="8"/>
  <c r="N114" i="8"/>
  <c r="O114" i="8"/>
  <c r="N120" i="8"/>
  <c r="O120" i="8"/>
  <c r="N121" i="8"/>
  <c r="O121" i="8" s="1"/>
  <c r="N128" i="8"/>
  <c r="O128" i="8" s="1"/>
  <c r="N132" i="8"/>
  <c r="O132" i="8"/>
  <c r="N141" i="8"/>
  <c r="O141" i="8" s="1"/>
  <c r="N144" i="8"/>
  <c r="O144" i="8" s="1"/>
  <c r="N145" i="8"/>
  <c r="O145" i="8"/>
  <c r="N146" i="8"/>
  <c r="O146" i="8"/>
  <c r="N151" i="8"/>
  <c r="O151" i="8" s="1"/>
  <c r="N163" i="8"/>
  <c r="O163" i="8"/>
  <c r="N164" i="8"/>
  <c r="O164" i="8"/>
  <c r="N169" i="8"/>
  <c r="O169" i="8" s="1"/>
  <c r="N175" i="8"/>
  <c r="O175" i="8" s="1"/>
  <c r="N186" i="8"/>
  <c r="O186" i="8"/>
  <c r="N187" i="8"/>
  <c r="O187" i="8" s="1"/>
  <c r="N194" i="8"/>
  <c r="O194" i="8" s="1"/>
  <c r="N199" i="8"/>
  <c r="O199" i="8"/>
  <c r="N200" i="8"/>
  <c r="O200" i="8"/>
  <c r="N201" i="8"/>
  <c r="O201" i="8" s="1"/>
  <c r="N205" i="8"/>
  <c r="O205" i="8"/>
  <c r="N217" i="8"/>
  <c r="O217" i="8"/>
  <c r="N218" i="8"/>
  <c r="O218" i="8"/>
  <c r="N219" i="8"/>
  <c r="O219" i="8" s="1"/>
  <c r="N224" i="8"/>
  <c r="O224" i="8" s="1"/>
  <c r="N237" i="8"/>
  <c r="O237" i="8"/>
  <c r="N242" i="8"/>
  <c r="O242" i="8"/>
  <c r="N248" i="8"/>
  <c r="O248" i="8"/>
  <c r="N249" i="8"/>
  <c r="O249" i="8" s="1"/>
  <c r="N256" i="8"/>
  <c r="O256" i="8" s="1"/>
  <c r="N260" i="8"/>
  <c r="O260" i="8"/>
  <c r="N269" i="8"/>
  <c r="O269" i="8" s="1"/>
  <c r="N272" i="8"/>
  <c r="O272" i="8" s="1"/>
  <c r="N273" i="8"/>
  <c r="O273" i="8"/>
  <c r="N274" i="8"/>
  <c r="O274" i="8"/>
  <c r="N279" i="8"/>
  <c r="O279" i="8" s="1"/>
  <c r="N291" i="8"/>
  <c r="O291" i="8"/>
  <c r="N292" i="8"/>
  <c r="O292" i="8"/>
  <c r="N297" i="8"/>
  <c r="O297" i="8" s="1"/>
  <c r="N303" i="8"/>
  <c r="O303" i="8" s="1"/>
  <c r="N314" i="8"/>
  <c r="O314" i="8"/>
  <c r="N315" i="8"/>
  <c r="O315" i="8" s="1"/>
  <c r="N322" i="8"/>
  <c r="O322" i="8" s="1"/>
  <c r="N327" i="8"/>
  <c r="O327" i="8"/>
  <c r="N328" i="8"/>
  <c r="O328" i="8"/>
  <c r="N329" i="8"/>
  <c r="O329" i="8" s="1"/>
  <c r="N333" i="8"/>
  <c r="O333" i="8"/>
  <c r="O10" i="8"/>
  <c r="N10" i="8"/>
  <c r="G11" i="8"/>
  <c r="G12" i="8"/>
  <c r="G13" i="8"/>
  <c r="G14" i="8"/>
  <c r="G15" i="8"/>
  <c r="G336" i="8" s="1"/>
  <c r="G16" i="8"/>
  <c r="N16" i="8" s="1"/>
  <c r="O16" i="8" s="1"/>
  <c r="G17" i="8"/>
  <c r="G18" i="8"/>
  <c r="N18" i="8" s="1"/>
  <c r="O18" i="8" s="1"/>
  <c r="G19" i="8"/>
  <c r="G20" i="8"/>
  <c r="G21" i="8"/>
  <c r="N21" i="8" s="1"/>
  <c r="O21" i="8" s="1"/>
  <c r="G22" i="8"/>
  <c r="G339" i="8" s="1"/>
  <c r="G23" i="8"/>
  <c r="N23" i="8" s="1"/>
  <c r="O23" i="8" s="1"/>
  <c r="G24" i="8"/>
  <c r="G25" i="8"/>
  <c r="G26" i="8"/>
  <c r="N26" i="8" s="1"/>
  <c r="O26" i="8" s="1"/>
  <c r="G27" i="8"/>
  <c r="N27" i="8" s="1"/>
  <c r="O27" i="8" s="1"/>
  <c r="G28" i="8"/>
  <c r="N28" i="8" s="1"/>
  <c r="O28" i="8" s="1"/>
  <c r="G29" i="8"/>
  <c r="N29" i="8" s="1"/>
  <c r="O29" i="8" s="1"/>
  <c r="G30" i="8"/>
  <c r="G31" i="8"/>
  <c r="N31" i="8" s="1"/>
  <c r="O31" i="8" s="1"/>
  <c r="G32" i="8"/>
  <c r="N32" i="8" s="1"/>
  <c r="O32" i="8" s="1"/>
  <c r="G33" i="8"/>
  <c r="N33" i="8" s="1"/>
  <c r="O33" i="8" s="1"/>
  <c r="G34" i="8"/>
  <c r="G35" i="8"/>
  <c r="G36" i="8"/>
  <c r="G37" i="8"/>
  <c r="G38" i="8"/>
  <c r="G39" i="8"/>
  <c r="N39" i="8" s="1"/>
  <c r="O39" i="8" s="1"/>
  <c r="G40" i="8"/>
  <c r="G41" i="8"/>
  <c r="G42" i="8"/>
  <c r="G43" i="8"/>
  <c r="N43" i="8" s="1"/>
  <c r="O43" i="8" s="1"/>
  <c r="G44" i="8"/>
  <c r="N44" i="8" s="1"/>
  <c r="O44" i="8" s="1"/>
  <c r="G45" i="8"/>
  <c r="N45" i="8" s="1"/>
  <c r="O45" i="8" s="1"/>
  <c r="G46" i="8"/>
  <c r="N46" i="8" s="1"/>
  <c r="O46" i="8" s="1"/>
  <c r="G47" i="8"/>
  <c r="N47" i="8" s="1"/>
  <c r="O47" i="8" s="1"/>
  <c r="G48" i="8"/>
  <c r="N48" i="8" s="1"/>
  <c r="O48" i="8" s="1"/>
  <c r="G49" i="8"/>
  <c r="G50" i="8"/>
  <c r="N50" i="8" s="1"/>
  <c r="O50" i="8" s="1"/>
  <c r="G51" i="8"/>
  <c r="N51" i="8" s="1"/>
  <c r="O51" i="8" s="1"/>
  <c r="G52" i="8"/>
  <c r="N52" i="8" s="1"/>
  <c r="O52" i="8" s="1"/>
  <c r="G53" i="8"/>
  <c r="N53" i="8" s="1"/>
  <c r="O53" i="8" s="1"/>
  <c r="G54" i="8"/>
  <c r="N54" i="8" s="1"/>
  <c r="O54" i="8" s="1"/>
  <c r="G55" i="8"/>
  <c r="N55" i="8" s="1"/>
  <c r="O55" i="8" s="1"/>
  <c r="G56" i="8"/>
  <c r="G57" i="8"/>
  <c r="N57" i="8" s="1"/>
  <c r="O57" i="8" s="1"/>
  <c r="G58" i="8"/>
  <c r="N58" i="8" s="1"/>
  <c r="O58" i="8" s="1"/>
  <c r="G59" i="8"/>
  <c r="G60" i="8"/>
  <c r="G61" i="8"/>
  <c r="N61" i="8" s="1"/>
  <c r="O61" i="8" s="1"/>
  <c r="G62" i="8"/>
  <c r="N62" i="8" s="1"/>
  <c r="O62" i="8" s="1"/>
  <c r="G63" i="8"/>
  <c r="N63" i="8" s="1"/>
  <c r="O63" i="8" s="1"/>
  <c r="G64" i="8"/>
  <c r="G65" i="8"/>
  <c r="G66" i="8"/>
  <c r="N66" i="8" s="1"/>
  <c r="O66" i="8" s="1"/>
  <c r="G67" i="8"/>
  <c r="G68" i="8"/>
  <c r="N68" i="8" s="1"/>
  <c r="O68" i="8" s="1"/>
  <c r="G69" i="8"/>
  <c r="N69" i="8" s="1"/>
  <c r="O69" i="8" s="1"/>
  <c r="G70" i="8"/>
  <c r="N70" i="8" s="1"/>
  <c r="O70" i="8" s="1"/>
  <c r="G71" i="8"/>
  <c r="G72" i="8"/>
  <c r="G73" i="8"/>
  <c r="G74" i="8"/>
  <c r="N74" i="8" s="1"/>
  <c r="O74" i="8" s="1"/>
  <c r="G75" i="8"/>
  <c r="N75" i="8" s="1"/>
  <c r="O75" i="8" s="1"/>
  <c r="G76" i="8"/>
  <c r="G77" i="8"/>
  <c r="G78" i="8"/>
  <c r="G79" i="8"/>
  <c r="N79" i="8" s="1"/>
  <c r="O79" i="8" s="1"/>
  <c r="G80" i="8"/>
  <c r="N80" i="8" s="1"/>
  <c r="O80" i="8" s="1"/>
  <c r="G81" i="8"/>
  <c r="G82" i="8"/>
  <c r="N82" i="8" s="1"/>
  <c r="O82" i="8" s="1"/>
  <c r="G83" i="8"/>
  <c r="N83" i="8" s="1"/>
  <c r="O83" i="8" s="1"/>
  <c r="G84" i="8"/>
  <c r="N84" i="8" s="1"/>
  <c r="O84" i="8" s="1"/>
  <c r="G85" i="8"/>
  <c r="N85" i="8" s="1"/>
  <c r="O85" i="8" s="1"/>
  <c r="G86" i="8"/>
  <c r="N86" i="8" s="1"/>
  <c r="O86" i="8" s="1"/>
  <c r="G87" i="8"/>
  <c r="N87" i="8" s="1"/>
  <c r="O87" i="8" s="1"/>
  <c r="G88" i="8"/>
  <c r="G89" i="8"/>
  <c r="G90" i="8"/>
  <c r="G91" i="8"/>
  <c r="G92" i="8"/>
  <c r="N92" i="8" s="1"/>
  <c r="O92" i="8" s="1"/>
  <c r="G93" i="8"/>
  <c r="N93" i="8" s="1"/>
  <c r="O93" i="8" s="1"/>
  <c r="G94" i="8"/>
  <c r="N94" i="8" s="1"/>
  <c r="O94" i="8" s="1"/>
  <c r="G95" i="8"/>
  <c r="N95" i="8" s="1"/>
  <c r="O95" i="8" s="1"/>
  <c r="G96" i="8"/>
  <c r="G97" i="8"/>
  <c r="G98" i="8"/>
  <c r="N98" i="8" s="1"/>
  <c r="O98" i="8" s="1"/>
  <c r="G99" i="8"/>
  <c r="G100" i="8"/>
  <c r="N100" i="8" s="1"/>
  <c r="O100" i="8" s="1"/>
  <c r="G101" i="8"/>
  <c r="N101" i="8" s="1"/>
  <c r="O101" i="8" s="1"/>
  <c r="G102" i="8"/>
  <c r="G103" i="8"/>
  <c r="G104" i="8"/>
  <c r="N104" i="8" s="1"/>
  <c r="O104" i="8" s="1"/>
  <c r="G105" i="8"/>
  <c r="N105" i="8" s="1"/>
  <c r="O105" i="8" s="1"/>
  <c r="G106" i="8"/>
  <c r="N106" i="8" s="1"/>
  <c r="O106" i="8" s="1"/>
  <c r="G107" i="8"/>
  <c r="G108" i="8"/>
  <c r="G109" i="8"/>
  <c r="G110" i="8"/>
  <c r="N110" i="8" s="1"/>
  <c r="O110" i="8" s="1"/>
  <c r="G111" i="8"/>
  <c r="G112" i="8"/>
  <c r="N112" i="8" s="1"/>
  <c r="O112" i="8" s="1"/>
  <c r="G113" i="8"/>
  <c r="G114" i="8"/>
  <c r="G115" i="8"/>
  <c r="N115" i="8" s="1"/>
  <c r="O115" i="8" s="1"/>
  <c r="G116" i="8"/>
  <c r="N116" i="8" s="1"/>
  <c r="O116" i="8" s="1"/>
  <c r="G117" i="8"/>
  <c r="N117" i="8" s="1"/>
  <c r="O117" i="8" s="1"/>
  <c r="G118" i="8"/>
  <c r="N118" i="8" s="1"/>
  <c r="O118" i="8" s="1"/>
  <c r="G119" i="8"/>
  <c r="N119" i="8" s="1"/>
  <c r="O119" i="8" s="1"/>
  <c r="G120" i="8"/>
  <c r="G121" i="8"/>
  <c r="G122" i="8"/>
  <c r="N122" i="8" s="1"/>
  <c r="O122" i="8" s="1"/>
  <c r="G123" i="8"/>
  <c r="N123" i="8" s="1"/>
  <c r="O123" i="8" s="1"/>
  <c r="G124" i="8"/>
  <c r="N124" i="8" s="1"/>
  <c r="O124" i="8" s="1"/>
  <c r="G125" i="8"/>
  <c r="N125" i="8" s="1"/>
  <c r="O125" i="8" s="1"/>
  <c r="G126" i="8"/>
  <c r="N126" i="8" s="1"/>
  <c r="O126" i="8" s="1"/>
  <c r="G127" i="8"/>
  <c r="N127" i="8" s="1"/>
  <c r="O127" i="8" s="1"/>
  <c r="G128" i="8"/>
  <c r="G129" i="8"/>
  <c r="G130" i="8"/>
  <c r="G131" i="8"/>
  <c r="G132" i="8"/>
  <c r="G133" i="8"/>
  <c r="N133" i="8" s="1"/>
  <c r="O133" i="8" s="1"/>
  <c r="G134" i="8"/>
  <c r="N134" i="8" s="1"/>
  <c r="O134" i="8" s="1"/>
  <c r="G135" i="8"/>
  <c r="N135" i="8" s="1"/>
  <c r="O135" i="8" s="1"/>
  <c r="G136" i="8"/>
  <c r="N136" i="8" s="1"/>
  <c r="O136" i="8" s="1"/>
  <c r="G137" i="8"/>
  <c r="N137" i="8" s="1"/>
  <c r="O137" i="8" s="1"/>
  <c r="G138" i="8"/>
  <c r="N138" i="8" s="1"/>
  <c r="O138" i="8" s="1"/>
  <c r="G139" i="8"/>
  <c r="N139" i="8" s="1"/>
  <c r="O139" i="8" s="1"/>
  <c r="G140" i="8"/>
  <c r="N140" i="8" s="1"/>
  <c r="O140" i="8" s="1"/>
  <c r="G141" i="8"/>
  <c r="G142" i="8"/>
  <c r="N142" i="8" s="1"/>
  <c r="O142" i="8" s="1"/>
  <c r="G143" i="8"/>
  <c r="G144" i="8"/>
  <c r="G145" i="8"/>
  <c r="G146" i="8"/>
  <c r="G147" i="8"/>
  <c r="N147" i="8" s="1"/>
  <c r="O147" i="8" s="1"/>
  <c r="G148" i="8"/>
  <c r="N148" i="8" s="1"/>
  <c r="O148" i="8" s="1"/>
  <c r="G149" i="8"/>
  <c r="N149" i="8" s="1"/>
  <c r="O149" i="8" s="1"/>
  <c r="G150" i="8"/>
  <c r="N150" i="8" s="1"/>
  <c r="O150" i="8" s="1"/>
  <c r="G151" i="8"/>
  <c r="G152" i="8"/>
  <c r="N152" i="8" s="1"/>
  <c r="O152" i="8" s="1"/>
  <c r="G153" i="8"/>
  <c r="N153" i="8" s="1"/>
  <c r="O153" i="8" s="1"/>
  <c r="G154" i="8"/>
  <c r="N154" i="8" s="1"/>
  <c r="O154" i="8" s="1"/>
  <c r="G155" i="8"/>
  <c r="N155" i="8" s="1"/>
  <c r="O155" i="8" s="1"/>
  <c r="G156" i="8"/>
  <c r="N156" i="8" s="1"/>
  <c r="O156" i="8" s="1"/>
  <c r="G157" i="8"/>
  <c r="N157" i="8" s="1"/>
  <c r="O157" i="8" s="1"/>
  <c r="G158" i="8"/>
  <c r="N158" i="8" s="1"/>
  <c r="O158" i="8" s="1"/>
  <c r="G159" i="8"/>
  <c r="N159" i="8" s="1"/>
  <c r="O159" i="8" s="1"/>
  <c r="G160" i="8"/>
  <c r="G161" i="8"/>
  <c r="G162" i="8"/>
  <c r="G163" i="8"/>
  <c r="G164" i="8"/>
  <c r="G165" i="8"/>
  <c r="N165" i="8" s="1"/>
  <c r="O165" i="8" s="1"/>
  <c r="G166" i="8"/>
  <c r="G167" i="8"/>
  <c r="G168" i="8"/>
  <c r="G169" i="8"/>
  <c r="G170" i="8"/>
  <c r="N170" i="8" s="1"/>
  <c r="O170" i="8" s="1"/>
  <c r="G171" i="8"/>
  <c r="N171" i="8" s="1"/>
  <c r="O171" i="8" s="1"/>
  <c r="G172" i="8"/>
  <c r="G173" i="8"/>
  <c r="G174" i="8"/>
  <c r="N174" i="8" s="1"/>
  <c r="O174" i="8" s="1"/>
  <c r="G175" i="8"/>
  <c r="G176" i="8"/>
  <c r="G177" i="8"/>
  <c r="N177" i="8" s="1"/>
  <c r="O177" i="8" s="1"/>
  <c r="G178" i="8"/>
  <c r="N178" i="8" s="1"/>
  <c r="O178" i="8" s="1"/>
  <c r="G179" i="8"/>
  <c r="N179" i="8" s="1"/>
  <c r="O179" i="8" s="1"/>
  <c r="G180" i="8"/>
  <c r="N180" i="8" s="1"/>
  <c r="O180" i="8" s="1"/>
  <c r="G181" i="8"/>
  <c r="N181" i="8" s="1"/>
  <c r="O181" i="8" s="1"/>
  <c r="G182" i="8"/>
  <c r="N182" i="8" s="1"/>
  <c r="O182" i="8" s="1"/>
  <c r="G183" i="8"/>
  <c r="N183" i="8" s="1"/>
  <c r="O183" i="8" s="1"/>
  <c r="G184" i="8"/>
  <c r="G185" i="8"/>
  <c r="G186" i="8"/>
  <c r="G187" i="8"/>
  <c r="G188" i="8"/>
  <c r="N188" i="8" s="1"/>
  <c r="O188" i="8" s="1"/>
  <c r="G189" i="8"/>
  <c r="N189" i="8" s="1"/>
  <c r="O189" i="8" s="1"/>
  <c r="G190" i="8"/>
  <c r="N190" i="8" s="1"/>
  <c r="O190" i="8" s="1"/>
  <c r="G191" i="8"/>
  <c r="N191" i="8" s="1"/>
  <c r="O191" i="8" s="1"/>
  <c r="G192" i="8"/>
  <c r="G193" i="8"/>
  <c r="G194" i="8"/>
  <c r="G195" i="8"/>
  <c r="G196" i="8"/>
  <c r="G197" i="8"/>
  <c r="N197" i="8" s="1"/>
  <c r="O197" i="8" s="1"/>
  <c r="G198" i="8"/>
  <c r="G199" i="8"/>
  <c r="G200" i="8"/>
  <c r="G201" i="8"/>
  <c r="G202" i="8"/>
  <c r="N202" i="8" s="1"/>
  <c r="O202" i="8" s="1"/>
  <c r="G203" i="8"/>
  <c r="N203" i="8" s="1"/>
  <c r="O203" i="8" s="1"/>
  <c r="G204" i="8"/>
  <c r="G205" i="8"/>
  <c r="G206" i="8"/>
  <c r="N206" i="8" s="1"/>
  <c r="O206" i="8" s="1"/>
  <c r="G207" i="8"/>
  <c r="N207" i="8" s="1"/>
  <c r="O207" i="8" s="1"/>
  <c r="G208" i="8"/>
  <c r="N208" i="8" s="1"/>
  <c r="O208" i="8" s="1"/>
  <c r="G209" i="8"/>
  <c r="G210" i="8"/>
  <c r="N210" i="8" s="1"/>
  <c r="O210" i="8" s="1"/>
  <c r="G211" i="8"/>
  <c r="N211" i="8" s="1"/>
  <c r="O211" i="8" s="1"/>
  <c r="G212" i="8"/>
  <c r="N212" i="8" s="1"/>
  <c r="O212" i="8" s="1"/>
  <c r="G213" i="8"/>
  <c r="N213" i="8" s="1"/>
  <c r="O213" i="8" s="1"/>
  <c r="G214" i="8"/>
  <c r="N214" i="8" s="1"/>
  <c r="O214" i="8" s="1"/>
  <c r="G215" i="8"/>
  <c r="N215" i="8" s="1"/>
  <c r="O215" i="8" s="1"/>
  <c r="G216" i="8"/>
  <c r="G217" i="8"/>
  <c r="G218" i="8"/>
  <c r="G219" i="8"/>
  <c r="G220" i="8"/>
  <c r="N220" i="8" s="1"/>
  <c r="O220" i="8" s="1"/>
  <c r="G221" i="8"/>
  <c r="N221" i="8" s="1"/>
  <c r="O221" i="8" s="1"/>
  <c r="G222" i="8"/>
  <c r="N222" i="8" s="1"/>
  <c r="O222" i="8" s="1"/>
  <c r="G223" i="8"/>
  <c r="N223" i="8" s="1"/>
  <c r="O223" i="8" s="1"/>
  <c r="G224" i="8"/>
  <c r="G225" i="8"/>
  <c r="G226" i="8"/>
  <c r="N226" i="8" s="1"/>
  <c r="O226" i="8" s="1"/>
  <c r="G227" i="8"/>
  <c r="G228" i="8"/>
  <c r="N228" i="8" s="1"/>
  <c r="O228" i="8" s="1"/>
  <c r="G229" i="8"/>
  <c r="N229" i="8" s="1"/>
  <c r="O229" i="8" s="1"/>
  <c r="G230" i="8"/>
  <c r="G231" i="8"/>
  <c r="G232" i="8"/>
  <c r="N232" i="8" s="1"/>
  <c r="O232" i="8" s="1"/>
  <c r="G233" i="8"/>
  <c r="N233" i="8" s="1"/>
  <c r="O233" i="8" s="1"/>
  <c r="G234" i="8"/>
  <c r="N234" i="8" s="1"/>
  <c r="O234" i="8" s="1"/>
  <c r="G235" i="8"/>
  <c r="G236" i="8"/>
  <c r="G237" i="8"/>
  <c r="G238" i="8"/>
  <c r="N238" i="8" s="1"/>
  <c r="O238" i="8" s="1"/>
  <c r="G239" i="8"/>
  <c r="N239" i="8" s="1"/>
  <c r="O239" i="8" s="1"/>
  <c r="G240" i="8"/>
  <c r="N240" i="8" s="1"/>
  <c r="O240" i="8" s="1"/>
  <c r="G241" i="8"/>
  <c r="G242" i="8"/>
  <c r="G243" i="8"/>
  <c r="N243" i="8" s="1"/>
  <c r="O243" i="8" s="1"/>
  <c r="G244" i="8"/>
  <c r="N244" i="8" s="1"/>
  <c r="O244" i="8" s="1"/>
  <c r="G245" i="8"/>
  <c r="N245" i="8" s="1"/>
  <c r="O245" i="8" s="1"/>
  <c r="G246" i="8"/>
  <c r="N246" i="8" s="1"/>
  <c r="O246" i="8" s="1"/>
  <c r="G247" i="8"/>
  <c r="N247" i="8" s="1"/>
  <c r="O247" i="8" s="1"/>
  <c r="G248" i="8"/>
  <c r="G249" i="8"/>
  <c r="G250" i="8"/>
  <c r="N250" i="8" s="1"/>
  <c r="O250" i="8" s="1"/>
  <c r="G251" i="8"/>
  <c r="N251" i="8" s="1"/>
  <c r="O251" i="8" s="1"/>
  <c r="G252" i="8"/>
  <c r="N252" i="8" s="1"/>
  <c r="O252" i="8" s="1"/>
  <c r="G253" i="8"/>
  <c r="N253" i="8" s="1"/>
  <c r="O253" i="8" s="1"/>
  <c r="G254" i="8"/>
  <c r="N254" i="8" s="1"/>
  <c r="O254" i="8" s="1"/>
  <c r="G255" i="8"/>
  <c r="N255" i="8" s="1"/>
  <c r="O255" i="8" s="1"/>
  <c r="G256" i="8"/>
  <c r="G257" i="8"/>
  <c r="G258" i="8"/>
  <c r="G259" i="8"/>
  <c r="G260" i="8"/>
  <c r="G261" i="8"/>
  <c r="N261" i="8" s="1"/>
  <c r="O261" i="8" s="1"/>
  <c r="G262" i="8"/>
  <c r="N262" i="8" s="1"/>
  <c r="O262" i="8" s="1"/>
  <c r="G263" i="8"/>
  <c r="N263" i="8" s="1"/>
  <c r="O263" i="8" s="1"/>
  <c r="G264" i="8"/>
  <c r="N264" i="8" s="1"/>
  <c r="O264" i="8" s="1"/>
  <c r="G265" i="8"/>
  <c r="N265" i="8" s="1"/>
  <c r="O265" i="8" s="1"/>
  <c r="G266" i="8"/>
  <c r="N266" i="8" s="1"/>
  <c r="O266" i="8" s="1"/>
  <c r="G267" i="8"/>
  <c r="N267" i="8" s="1"/>
  <c r="O267" i="8" s="1"/>
  <c r="G268" i="8"/>
  <c r="N268" i="8" s="1"/>
  <c r="O268" i="8" s="1"/>
  <c r="G269" i="8"/>
  <c r="G270" i="8"/>
  <c r="N270" i="8" s="1"/>
  <c r="O270" i="8" s="1"/>
  <c r="G271" i="8"/>
  <c r="G272" i="8"/>
  <c r="G273" i="8"/>
  <c r="G274" i="8"/>
  <c r="G275" i="8"/>
  <c r="N275" i="8" s="1"/>
  <c r="O275" i="8" s="1"/>
  <c r="G276" i="8"/>
  <c r="N276" i="8" s="1"/>
  <c r="O276" i="8" s="1"/>
  <c r="G277" i="8"/>
  <c r="N277" i="8" s="1"/>
  <c r="O277" i="8" s="1"/>
  <c r="G278" i="8"/>
  <c r="N278" i="8" s="1"/>
  <c r="O278" i="8" s="1"/>
  <c r="G279" i="8"/>
  <c r="G280" i="8"/>
  <c r="N280" i="8" s="1"/>
  <c r="O280" i="8" s="1"/>
  <c r="G281" i="8"/>
  <c r="N281" i="8" s="1"/>
  <c r="O281" i="8" s="1"/>
  <c r="G282" i="8"/>
  <c r="N282" i="8" s="1"/>
  <c r="O282" i="8" s="1"/>
  <c r="G283" i="8"/>
  <c r="N283" i="8" s="1"/>
  <c r="O283" i="8" s="1"/>
  <c r="G284" i="8"/>
  <c r="N284" i="8" s="1"/>
  <c r="O284" i="8" s="1"/>
  <c r="G285" i="8"/>
  <c r="N285" i="8" s="1"/>
  <c r="O285" i="8" s="1"/>
  <c r="G286" i="8"/>
  <c r="N286" i="8" s="1"/>
  <c r="O286" i="8" s="1"/>
  <c r="G287" i="8"/>
  <c r="N287" i="8" s="1"/>
  <c r="O287" i="8" s="1"/>
  <c r="G288" i="8"/>
  <c r="G289" i="8"/>
  <c r="G290" i="8"/>
  <c r="G291" i="8"/>
  <c r="G292" i="8"/>
  <c r="G293" i="8"/>
  <c r="N293" i="8" s="1"/>
  <c r="O293" i="8" s="1"/>
  <c r="G294" i="8"/>
  <c r="N294" i="8" s="1"/>
  <c r="O294" i="8" s="1"/>
  <c r="G295" i="8"/>
  <c r="N295" i="8" s="1"/>
  <c r="O295" i="8" s="1"/>
  <c r="G296" i="8"/>
  <c r="G297" i="8"/>
  <c r="G298" i="8"/>
  <c r="N298" i="8" s="1"/>
  <c r="O298" i="8" s="1"/>
  <c r="G299" i="8"/>
  <c r="N299" i="8" s="1"/>
  <c r="O299" i="8" s="1"/>
  <c r="G300" i="8"/>
  <c r="G301" i="8"/>
  <c r="G302" i="8"/>
  <c r="N302" i="8" s="1"/>
  <c r="O302" i="8" s="1"/>
  <c r="G303" i="8"/>
  <c r="G304" i="8"/>
  <c r="G305" i="8"/>
  <c r="N305" i="8" s="1"/>
  <c r="O305" i="8" s="1"/>
  <c r="G306" i="8"/>
  <c r="N306" i="8" s="1"/>
  <c r="O306" i="8" s="1"/>
  <c r="G307" i="8"/>
  <c r="N307" i="8" s="1"/>
  <c r="O307" i="8" s="1"/>
  <c r="G308" i="8"/>
  <c r="N308" i="8" s="1"/>
  <c r="O308" i="8" s="1"/>
  <c r="G309" i="8"/>
  <c r="N309" i="8" s="1"/>
  <c r="O309" i="8" s="1"/>
  <c r="G310" i="8"/>
  <c r="N310" i="8" s="1"/>
  <c r="O310" i="8" s="1"/>
  <c r="G311" i="8"/>
  <c r="N311" i="8" s="1"/>
  <c r="O311" i="8" s="1"/>
  <c r="G312" i="8"/>
  <c r="G313" i="8"/>
  <c r="G314" i="8"/>
  <c r="G315" i="8"/>
  <c r="G316" i="8"/>
  <c r="N316" i="8" s="1"/>
  <c r="O316" i="8" s="1"/>
  <c r="G317" i="8"/>
  <c r="N317" i="8" s="1"/>
  <c r="O317" i="8" s="1"/>
  <c r="G318" i="8"/>
  <c r="N318" i="8" s="1"/>
  <c r="O318" i="8" s="1"/>
  <c r="G319" i="8"/>
  <c r="N319" i="8" s="1"/>
  <c r="O319" i="8" s="1"/>
  <c r="G320" i="8"/>
  <c r="G321" i="8"/>
  <c r="G322" i="8"/>
  <c r="G323" i="8"/>
  <c r="G324" i="8"/>
  <c r="G325" i="8"/>
  <c r="N325" i="8" s="1"/>
  <c r="O325" i="8" s="1"/>
  <c r="G326" i="8"/>
  <c r="N326" i="8" s="1"/>
  <c r="O326" i="8" s="1"/>
  <c r="G327" i="8"/>
  <c r="G328" i="8"/>
  <c r="G329" i="8"/>
  <c r="G330" i="8"/>
  <c r="N330" i="8" s="1"/>
  <c r="O330" i="8" s="1"/>
  <c r="G331" i="8"/>
  <c r="N331" i="8" s="1"/>
  <c r="O331" i="8" s="1"/>
  <c r="G332" i="8"/>
  <c r="G333" i="8"/>
  <c r="G334" i="8"/>
  <c r="N334" i="8" s="1"/>
  <c r="O334" i="8" s="1"/>
  <c r="E6" i="8"/>
  <c r="B6" i="8"/>
  <c r="G10" i="8"/>
  <c r="C11" i="7"/>
  <c r="D11" i="8"/>
  <c r="E11" i="8"/>
  <c r="F11" i="8" s="1"/>
  <c r="D12" i="8"/>
  <c r="E12" i="8"/>
  <c r="F12" i="8" s="1"/>
  <c r="D13" i="8"/>
  <c r="E13" i="8"/>
  <c r="D14" i="8"/>
  <c r="E14" i="8"/>
  <c r="F14" i="8" s="1"/>
  <c r="D15" i="8"/>
  <c r="D336" i="8" s="1"/>
  <c r="E15" i="8"/>
  <c r="E336" i="8" s="1"/>
  <c r="D16" i="8"/>
  <c r="E16" i="8"/>
  <c r="D17" i="8"/>
  <c r="F17" i="8" s="1"/>
  <c r="E17" i="8"/>
  <c r="D18" i="8"/>
  <c r="E18" i="8"/>
  <c r="D19" i="8"/>
  <c r="F19" i="8" s="1"/>
  <c r="E19" i="8"/>
  <c r="D20" i="8"/>
  <c r="E20" i="8"/>
  <c r="F20" i="8" s="1"/>
  <c r="D21" i="8"/>
  <c r="E21" i="8"/>
  <c r="D22" i="8"/>
  <c r="E22" i="8"/>
  <c r="D23" i="8"/>
  <c r="E23" i="8"/>
  <c r="D24" i="8"/>
  <c r="E24" i="8"/>
  <c r="D25" i="8"/>
  <c r="E25" i="8"/>
  <c r="D26" i="8"/>
  <c r="E26" i="8"/>
  <c r="D27" i="8"/>
  <c r="E27" i="8"/>
  <c r="D28" i="8"/>
  <c r="E28" i="8"/>
  <c r="F28" i="8" s="1"/>
  <c r="D29" i="8"/>
  <c r="E29" i="8"/>
  <c r="D30" i="8"/>
  <c r="E30" i="8"/>
  <c r="F30" i="8" s="1"/>
  <c r="D31" i="8"/>
  <c r="E31" i="8"/>
  <c r="F31" i="8"/>
  <c r="D32" i="8"/>
  <c r="E32" i="8"/>
  <c r="D33" i="8"/>
  <c r="E33" i="8"/>
  <c r="F33" i="8" s="1"/>
  <c r="D34" i="8"/>
  <c r="E34" i="8"/>
  <c r="D35" i="8"/>
  <c r="F35" i="8" s="1"/>
  <c r="E35" i="8"/>
  <c r="D36" i="8"/>
  <c r="F36" i="8" s="1"/>
  <c r="E36" i="8"/>
  <c r="D37" i="8"/>
  <c r="F37" i="8" s="1"/>
  <c r="E37" i="8"/>
  <c r="D38" i="8"/>
  <c r="E38" i="8"/>
  <c r="D39" i="8"/>
  <c r="E39" i="8"/>
  <c r="D40" i="8"/>
  <c r="E40" i="8"/>
  <c r="D41" i="8"/>
  <c r="F41" i="8" s="1"/>
  <c r="E41" i="8"/>
  <c r="D42" i="8"/>
  <c r="E42" i="8"/>
  <c r="D43" i="8"/>
  <c r="E43" i="8"/>
  <c r="F43" i="8" s="1"/>
  <c r="D44" i="8"/>
  <c r="E44" i="8"/>
  <c r="F44" i="8" s="1"/>
  <c r="D45" i="8"/>
  <c r="E45" i="8"/>
  <c r="D46" i="8"/>
  <c r="E46" i="8"/>
  <c r="D47" i="8"/>
  <c r="E47" i="8"/>
  <c r="D48" i="8"/>
  <c r="E48" i="8"/>
  <c r="D49" i="8"/>
  <c r="E49" i="8"/>
  <c r="D50" i="8"/>
  <c r="E50" i="8"/>
  <c r="D51" i="8"/>
  <c r="E51" i="8"/>
  <c r="D52" i="8"/>
  <c r="E52" i="8"/>
  <c r="D53" i="8"/>
  <c r="E53" i="8"/>
  <c r="D54" i="8"/>
  <c r="E54" i="8"/>
  <c r="D55" i="8"/>
  <c r="E55" i="8"/>
  <c r="D56" i="8"/>
  <c r="E56" i="8"/>
  <c r="D57" i="8"/>
  <c r="E57" i="8"/>
  <c r="D58" i="8"/>
  <c r="E58" i="8"/>
  <c r="F58" i="8"/>
  <c r="D59" i="8"/>
  <c r="E59" i="8"/>
  <c r="D60" i="8"/>
  <c r="F60" i="8" s="1"/>
  <c r="E60" i="8"/>
  <c r="D61" i="8"/>
  <c r="E61" i="8"/>
  <c r="D62" i="8"/>
  <c r="E62" i="8"/>
  <c r="F62" i="8" s="1"/>
  <c r="D63" i="8"/>
  <c r="E63" i="8"/>
  <c r="D64" i="8"/>
  <c r="E64" i="8"/>
  <c r="D65" i="8"/>
  <c r="E65" i="8"/>
  <c r="D66" i="8"/>
  <c r="E66" i="8"/>
  <c r="D67" i="8"/>
  <c r="E67" i="8"/>
  <c r="F67" i="8" s="1"/>
  <c r="D68" i="8"/>
  <c r="E68" i="8"/>
  <c r="D69" i="8"/>
  <c r="E69" i="8"/>
  <c r="F69" i="8"/>
  <c r="D70" i="8"/>
  <c r="E70" i="8"/>
  <c r="F70" i="8"/>
  <c r="D71" i="8"/>
  <c r="E71" i="8"/>
  <c r="D72" i="8"/>
  <c r="E72" i="8"/>
  <c r="F72" i="8"/>
  <c r="D73" i="8"/>
  <c r="E73" i="8"/>
  <c r="D74" i="8"/>
  <c r="E74" i="8"/>
  <c r="D75" i="8"/>
  <c r="E75" i="8"/>
  <c r="D76" i="8"/>
  <c r="E76" i="8"/>
  <c r="D77" i="8"/>
  <c r="E77" i="8"/>
  <c r="D78" i="8"/>
  <c r="E78" i="8"/>
  <c r="D79" i="8"/>
  <c r="E79" i="8"/>
  <c r="D80" i="8"/>
  <c r="E80" i="8"/>
  <c r="D81" i="8"/>
  <c r="E81" i="8"/>
  <c r="D82" i="8"/>
  <c r="E82" i="8"/>
  <c r="D83" i="8"/>
  <c r="E83" i="8"/>
  <c r="F83" i="8"/>
  <c r="D84" i="8"/>
  <c r="E84" i="8"/>
  <c r="F84" i="8"/>
  <c r="D85" i="8"/>
  <c r="E85" i="8"/>
  <c r="D86" i="8"/>
  <c r="E86" i="8"/>
  <c r="D87" i="8"/>
  <c r="E87" i="8"/>
  <c r="D88" i="8"/>
  <c r="E88" i="8"/>
  <c r="D89" i="8"/>
  <c r="E89" i="8"/>
  <c r="D90" i="8"/>
  <c r="E90" i="8"/>
  <c r="D91" i="8"/>
  <c r="E91" i="8"/>
  <c r="D92" i="8"/>
  <c r="E92" i="8"/>
  <c r="D93" i="8"/>
  <c r="F93" i="8" s="1"/>
  <c r="E93" i="8"/>
  <c r="D94" i="8"/>
  <c r="E94" i="8"/>
  <c r="D95" i="8"/>
  <c r="E95" i="8"/>
  <c r="D96" i="8"/>
  <c r="E96" i="8"/>
  <c r="D97" i="8"/>
  <c r="F97" i="8" s="1"/>
  <c r="E97" i="8"/>
  <c r="D98" i="8"/>
  <c r="E98" i="8"/>
  <c r="D99" i="8"/>
  <c r="E99" i="8"/>
  <c r="F99" i="8"/>
  <c r="D100" i="8"/>
  <c r="E100" i="8"/>
  <c r="D101" i="8"/>
  <c r="E101" i="8"/>
  <c r="F101" i="8"/>
  <c r="D102" i="8"/>
  <c r="E102" i="8"/>
  <c r="D103" i="8"/>
  <c r="E103" i="8"/>
  <c r="D104" i="8"/>
  <c r="F104" i="8" s="1"/>
  <c r="E104" i="8"/>
  <c r="D105" i="8"/>
  <c r="E105" i="8"/>
  <c r="D106" i="8"/>
  <c r="E106" i="8"/>
  <c r="D107" i="8"/>
  <c r="E107" i="8"/>
  <c r="D108" i="8"/>
  <c r="E108" i="8"/>
  <c r="D109" i="8"/>
  <c r="E109" i="8"/>
  <c r="F109" i="8" s="1"/>
  <c r="D110" i="8"/>
  <c r="E110" i="8"/>
  <c r="D111" i="8"/>
  <c r="E111" i="8"/>
  <c r="D112" i="8"/>
  <c r="E112" i="8"/>
  <c r="D113" i="8"/>
  <c r="E113" i="8"/>
  <c r="F113" i="8"/>
  <c r="D114" i="8"/>
  <c r="E114" i="8"/>
  <c r="D115" i="8"/>
  <c r="E115" i="8"/>
  <c r="D116" i="8"/>
  <c r="E116" i="8"/>
  <c r="D117" i="8"/>
  <c r="E117" i="8"/>
  <c r="D118" i="8"/>
  <c r="E118" i="8"/>
  <c r="D119" i="8"/>
  <c r="E119" i="8"/>
  <c r="D120" i="8"/>
  <c r="E120" i="8"/>
  <c r="D121" i="8"/>
  <c r="E121" i="8"/>
  <c r="D122" i="8"/>
  <c r="E122" i="8"/>
  <c r="D123" i="8"/>
  <c r="E123" i="8"/>
  <c r="D124" i="8"/>
  <c r="E124" i="8"/>
  <c r="F124" i="8"/>
  <c r="D125" i="8"/>
  <c r="E125" i="8"/>
  <c r="D126" i="8"/>
  <c r="E126" i="8"/>
  <c r="F126" i="8" s="1"/>
  <c r="D127" i="8"/>
  <c r="F127" i="8" s="1"/>
  <c r="E127" i="8"/>
  <c r="D128" i="8"/>
  <c r="E128" i="8"/>
  <c r="D129" i="8"/>
  <c r="E129" i="8"/>
  <c r="D130" i="8"/>
  <c r="E130" i="8"/>
  <c r="D131" i="8"/>
  <c r="E131" i="8"/>
  <c r="D132" i="8"/>
  <c r="E132" i="8"/>
  <c r="D133" i="8"/>
  <c r="E133" i="8"/>
  <c r="F133" i="8" s="1"/>
  <c r="D134" i="8"/>
  <c r="E134" i="8"/>
  <c r="D135" i="8"/>
  <c r="F135" i="8" s="1"/>
  <c r="E135" i="8"/>
  <c r="D136" i="8"/>
  <c r="F136" i="8" s="1"/>
  <c r="E136" i="8"/>
  <c r="D137" i="8"/>
  <c r="E137" i="8"/>
  <c r="D138" i="8"/>
  <c r="E138" i="8"/>
  <c r="D139" i="8"/>
  <c r="E139" i="8"/>
  <c r="F139" i="8"/>
  <c r="D140" i="8"/>
  <c r="E140" i="8"/>
  <c r="D141" i="8"/>
  <c r="E141" i="8"/>
  <c r="D142" i="8"/>
  <c r="E142" i="8"/>
  <c r="F142" i="8" s="1"/>
  <c r="D143" i="8"/>
  <c r="E143" i="8"/>
  <c r="D144" i="8"/>
  <c r="E144" i="8"/>
  <c r="D145" i="8"/>
  <c r="E145" i="8"/>
  <c r="D146" i="8"/>
  <c r="E146" i="8"/>
  <c r="D147" i="8"/>
  <c r="E147" i="8"/>
  <c r="D148" i="8"/>
  <c r="E148" i="8"/>
  <c r="F148" i="8"/>
  <c r="D149" i="8"/>
  <c r="E149" i="8"/>
  <c r="D150" i="8"/>
  <c r="E150" i="8"/>
  <c r="D151" i="8"/>
  <c r="F151" i="8" s="1"/>
  <c r="E151" i="8"/>
  <c r="D152" i="8"/>
  <c r="E152" i="8"/>
  <c r="D153" i="8"/>
  <c r="E153" i="8"/>
  <c r="D154" i="8"/>
  <c r="E154" i="8"/>
  <c r="D155" i="8"/>
  <c r="E155" i="8"/>
  <c r="D156" i="8"/>
  <c r="F156" i="8" s="1"/>
  <c r="E156" i="8"/>
  <c r="D157" i="8"/>
  <c r="E157" i="8"/>
  <c r="D158" i="8"/>
  <c r="E158" i="8"/>
  <c r="D159" i="8"/>
  <c r="E159" i="8"/>
  <c r="D160" i="8"/>
  <c r="E160" i="8"/>
  <c r="D161" i="8"/>
  <c r="E161" i="8"/>
  <c r="D162" i="8"/>
  <c r="E162" i="8"/>
  <c r="D163" i="8"/>
  <c r="E163" i="8"/>
  <c r="F163" i="8" s="1"/>
  <c r="D164" i="8"/>
  <c r="E164" i="8"/>
  <c r="D165" i="8"/>
  <c r="F165" i="8" s="1"/>
  <c r="E165" i="8"/>
  <c r="D166" i="8"/>
  <c r="E166" i="8"/>
  <c r="D167" i="8"/>
  <c r="E167" i="8"/>
  <c r="F167" i="8"/>
  <c r="D168" i="8"/>
  <c r="E168" i="8"/>
  <c r="D169" i="8"/>
  <c r="E169" i="8"/>
  <c r="F169" i="8"/>
  <c r="D170" i="8"/>
  <c r="E170" i="8"/>
  <c r="D171" i="8"/>
  <c r="E171" i="8"/>
  <c r="D172" i="8"/>
  <c r="E172" i="8"/>
  <c r="D173" i="8"/>
  <c r="E173" i="8"/>
  <c r="D174" i="8"/>
  <c r="E174" i="8"/>
  <c r="D175" i="8"/>
  <c r="E175" i="8"/>
  <c r="D176" i="8"/>
  <c r="E176" i="8"/>
  <c r="D177" i="8"/>
  <c r="E177" i="8"/>
  <c r="D178" i="8"/>
  <c r="E178" i="8"/>
  <c r="D179" i="8"/>
  <c r="E179" i="8"/>
  <c r="F179" i="8"/>
  <c r="D180" i="8"/>
  <c r="F180" i="8" s="1"/>
  <c r="E180" i="8"/>
  <c r="D181" i="8"/>
  <c r="E181" i="8"/>
  <c r="D182" i="8"/>
  <c r="E182" i="8"/>
  <c r="D183" i="8"/>
  <c r="E183" i="8"/>
  <c r="D184" i="8"/>
  <c r="E184" i="8"/>
  <c r="D185" i="8"/>
  <c r="E185" i="8"/>
  <c r="D186" i="8"/>
  <c r="E186" i="8"/>
  <c r="D187" i="8"/>
  <c r="E187" i="8"/>
  <c r="D188" i="8"/>
  <c r="E188" i="8"/>
  <c r="F188" i="8"/>
  <c r="D189" i="8"/>
  <c r="E189" i="8"/>
  <c r="D190" i="8"/>
  <c r="E190" i="8"/>
  <c r="F190" i="8" s="1"/>
  <c r="D191" i="8"/>
  <c r="E191" i="8"/>
  <c r="D192" i="8"/>
  <c r="E192" i="8"/>
  <c r="D193" i="8"/>
  <c r="E193" i="8"/>
  <c r="D194" i="8"/>
  <c r="E194" i="8"/>
  <c r="D195" i="8"/>
  <c r="F195" i="8" s="1"/>
  <c r="E195" i="8"/>
  <c r="D196" i="8"/>
  <c r="E196" i="8"/>
  <c r="D197" i="8"/>
  <c r="E197" i="8"/>
  <c r="F197" i="8" s="1"/>
  <c r="D198" i="8"/>
  <c r="E198" i="8"/>
  <c r="F198" i="8" s="1"/>
  <c r="D199" i="8"/>
  <c r="E199" i="8"/>
  <c r="F199" i="8" s="1"/>
  <c r="D200" i="8"/>
  <c r="E200" i="8"/>
  <c r="D201" i="8"/>
  <c r="F201" i="8" s="1"/>
  <c r="E201" i="8"/>
  <c r="D202" i="8"/>
  <c r="E202" i="8"/>
  <c r="D203" i="8"/>
  <c r="E203" i="8"/>
  <c r="D204" i="8"/>
  <c r="E204" i="8"/>
  <c r="F204" i="8" s="1"/>
  <c r="D205" i="8"/>
  <c r="E205" i="8"/>
  <c r="D206" i="8"/>
  <c r="E206" i="8"/>
  <c r="F206" i="8" s="1"/>
  <c r="D207" i="8"/>
  <c r="E207" i="8"/>
  <c r="D208" i="8"/>
  <c r="E208" i="8"/>
  <c r="D209" i="8"/>
  <c r="E209" i="8"/>
  <c r="F209" i="8" s="1"/>
  <c r="D210" i="8"/>
  <c r="E210" i="8"/>
  <c r="D211" i="8"/>
  <c r="E211" i="8"/>
  <c r="D212" i="8"/>
  <c r="E212" i="8"/>
  <c r="F212" i="8"/>
  <c r="D213" i="8"/>
  <c r="E213" i="8"/>
  <c r="D214" i="8"/>
  <c r="E214" i="8"/>
  <c r="D215" i="8"/>
  <c r="E215" i="8"/>
  <c r="D216" i="8"/>
  <c r="E216" i="8"/>
  <c r="D217" i="8"/>
  <c r="E217" i="8"/>
  <c r="D218" i="8"/>
  <c r="E218" i="8"/>
  <c r="F218" i="8" s="1"/>
  <c r="D219" i="8"/>
  <c r="E219" i="8"/>
  <c r="D220" i="8"/>
  <c r="E220" i="8"/>
  <c r="D221" i="8"/>
  <c r="E221" i="8"/>
  <c r="D222" i="8"/>
  <c r="E222" i="8"/>
  <c r="D223" i="8"/>
  <c r="E223" i="8"/>
  <c r="F223" i="8"/>
  <c r="D224" i="8"/>
  <c r="E224" i="8"/>
  <c r="D225" i="8"/>
  <c r="E225" i="8"/>
  <c r="D226" i="8"/>
  <c r="E226" i="8"/>
  <c r="D227" i="8"/>
  <c r="E227" i="8"/>
  <c r="D228" i="8"/>
  <c r="E228" i="8"/>
  <c r="D229" i="8"/>
  <c r="F229" i="8" s="1"/>
  <c r="E229" i="8"/>
  <c r="D230" i="8"/>
  <c r="E230" i="8"/>
  <c r="D231" i="8"/>
  <c r="F231" i="8" s="1"/>
  <c r="E231" i="8"/>
  <c r="D232" i="8"/>
  <c r="E232" i="8"/>
  <c r="D233" i="8"/>
  <c r="E233" i="8"/>
  <c r="D234" i="8"/>
  <c r="E234" i="8"/>
  <c r="D235" i="8"/>
  <c r="E235" i="8"/>
  <c r="F235" i="8"/>
  <c r="D236" i="8"/>
  <c r="E236" i="8"/>
  <c r="F236" i="8" s="1"/>
  <c r="D237" i="8"/>
  <c r="E237" i="8"/>
  <c r="D238" i="8"/>
  <c r="E238" i="8"/>
  <c r="F238" i="8" s="1"/>
  <c r="D239" i="8"/>
  <c r="E239" i="8"/>
  <c r="F239" i="8" s="1"/>
  <c r="D240" i="8"/>
  <c r="E240" i="8"/>
  <c r="D241" i="8"/>
  <c r="E241" i="8"/>
  <c r="F241" i="8"/>
  <c r="D242" i="8"/>
  <c r="E242" i="8"/>
  <c r="D243" i="8"/>
  <c r="E243" i="8"/>
  <c r="D244" i="8"/>
  <c r="F244" i="8" s="1"/>
  <c r="E244" i="8"/>
  <c r="D245" i="8"/>
  <c r="E245" i="8"/>
  <c r="D246" i="8"/>
  <c r="E246" i="8"/>
  <c r="D247" i="8"/>
  <c r="E247" i="8"/>
  <c r="D248" i="8"/>
  <c r="E248" i="8"/>
  <c r="D249" i="8"/>
  <c r="E249" i="8"/>
  <c r="D250" i="8"/>
  <c r="E250" i="8"/>
  <c r="F250" i="8" s="1"/>
  <c r="D251" i="8"/>
  <c r="E251" i="8"/>
  <c r="D252" i="8"/>
  <c r="E252" i="8"/>
  <c r="F252" i="8" s="1"/>
  <c r="D253" i="8"/>
  <c r="E253" i="8"/>
  <c r="D254" i="8"/>
  <c r="E254" i="8"/>
  <c r="F254" i="8" s="1"/>
  <c r="D255" i="8"/>
  <c r="F255" i="8" s="1"/>
  <c r="E255" i="8"/>
  <c r="D256" i="8"/>
  <c r="E256" i="8"/>
  <c r="D257" i="8"/>
  <c r="E257" i="8"/>
  <c r="D258" i="8"/>
  <c r="E258" i="8"/>
  <c r="D259" i="8"/>
  <c r="F259" i="8" s="1"/>
  <c r="E259" i="8"/>
  <c r="D260" i="8"/>
  <c r="E260" i="8"/>
  <c r="D261" i="8"/>
  <c r="E261" i="8"/>
  <c r="D262" i="8"/>
  <c r="E262" i="8"/>
  <c r="D263" i="8"/>
  <c r="E263" i="8"/>
  <c r="F263" i="8"/>
  <c r="D264" i="8"/>
  <c r="E264" i="8"/>
  <c r="D265" i="8"/>
  <c r="E265" i="8"/>
  <c r="F265" i="8" s="1"/>
  <c r="D266" i="8"/>
  <c r="E266" i="8"/>
  <c r="D267" i="8"/>
  <c r="E267" i="8"/>
  <c r="D268" i="8"/>
  <c r="E268" i="8"/>
  <c r="D269" i="8"/>
  <c r="E269" i="8"/>
  <c r="D270" i="8"/>
  <c r="E270" i="8"/>
  <c r="D271" i="8"/>
  <c r="E271" i="8"/>
  <c r="D272" i="8"/>
  <c r="E272" i="8"/>
  <c r="D273" i="8"/>
  <c r="E273" i="8"/>
  <c r="D274" i="8"/>
  <c r="E274" i="8"/>
  <c r="D275" i="8"/>
  <c r="E275" i="8"/>
  <c r="D276" i="8"/>
  <c r="E276" i="8"/>
  <c r="D277" i="8"/>
  <c r="E277" i="8"/>
  <c r="D278" i="8"/>
  <c r="E278" i="8"/>
  <c r="D279" i="8"/>
  <c r="E279" i="8"/>
  <c r="D280" i="8"/>
  <c r="E280" i="8"/>
  <c r="D281" i="8"/>
  <c r="E281" i="8"/>
  <c r="D282" i="8"/>
  <c r="E282" i="8"/>
  <c r="D283" i="8"/>
  <c r="E283" i="8"/>
  <c r="D284" i="8"/>
  <c r="E284" i="8"/>
  <c r="F284" i="8"/>
  <c r="D285" i="8"/>
  <c r="E285" i="8"/>
  <c r="D286" i="8"/>
  <c r="E286" i="8"/>
  <c r="D287" i="8"/>
  <c r="E287" i="8"/>
  <c r="D288" i="8"/>
  <c r="E288" i="8"/>
  <c r="D289" i="8"/>
  <c r="E289" i="8"/>
  <c r="F289" i="8"/>
  <c r="D290" i="8"/>
  <c r="E290" i="8"/>
  <c r="D291" i="8"/>
  <c r="F291" i="8" s="1"/>
  <c r="E291" i="8"/>
  <c r="D292" i="8"/>
  <c r="E292" i="8"/>
  <c r="D293" i="8"/>
  <c r="E293" i="8"/>
  <c r="D294" i="8"/>
  <c r="E294" i="8"/>
  <c r="F294" i="8"/>
  <c r="D295" i="8"/>
  <c r="E295" i="8"/>
  <c r="D296" i="8"/>
  <c r="F296" i="8" s="1"/>
  <c r="E296" i="8"/>
  <c r="D297" i="8"/>
  <c r="E297" i="8"/>
  <c r="F297" i="8"/>
  <c r="D298" i="8"/>
  <c r="E298" i="8"/>
  <c r="F298" i="8" s="1"/>
  <c r="D299" i="8"/>
  <c r="E299" i="8"/>
  <c r="D300" i="8"/>
  <c r="E300" i="8"/>
  <c r="F300" i="8"/>
  <c r="D301" i="8"/>
  <c r="E301" i="8"/>
  <c r="D302" i="8"/>
  <c r="E302" i="8"/>
  <c r="F302" i="8" s="1"/>
  <c r="D303" i="8"/>
  <c r="E303" i="8"/>
  <c r="D304" i="8"/>
  <c r="E304" i="8"/>
  <c r="D305" i="8"/>
  <c r="F305" i="8" s="1"/>
  <c r="E305" i="8"/>
  <c r="D306" i="8"/>
  <c r="E306" i="8"/>
  <c r="D307" i="8"/>
  <c r="F307" i="8" s="1"/>
  <c r="E307" i="8"/>
  <c r="D308" i="8"/>
  <c r="E308" i="8"/>
  <c r="D309" i="8"/>
  <c r="E309" i="8"/>
  <c r="D310" i="8"/>
  <c r="E310" i="8"/>
  <c r="D311" i="8"/>
  <c r="E311" i="8"/>
  <c r="D312" i="8"/>
  <c r="E312" i="8"/>
  <c r="D313" i="8"/>
  <c r="E313" i="8"/>
  <c r="D314" i="8"/>
  <c r="E314" i="8"/>
  <c r="D315" i="8"/>
  <c r="E315" i="8"/>
  <c r="D316" i="8"/>
  <c r="E316" i="8"/>
  <c r="F316" i="8" s="1"/>
  <c r="D317" i="8"/>
  <c r="E317" i="8"/>
  <c r="D318" i="8"/>
  <c r="E318" i="8"/>
  <c r="D319" i="8"/>
  <c r="E319" i="8"/>
  <c r="D320" i="8"/>
  <c r="E320" i="8"/>
  <c r="D321" i="8"/>
  <c r="E321" i="8"/>
  <c r="F321" i="8" s="1"/>
  <c r="D322" i="8"/>
  <c r="E322" i="8"/>
  <c r="D323" i="8"/>
  <c r="E323" i="8"/>
  <c r="F323" i="8"/>
  <c r="D324" i="8"/>
  <c r="E324" i="8"/>
  <c r="D325" i="8"/>
  <c r="F325" i="8" s="1"/>
  <c r="E325" i="8"/>
  <c r="D326" i="8"/>
  <c r="E326" i="8"/>
  <c r="D327" i="8"/>
  <c r="E327" i="8"/>
  <c r="F327" i="8"/>
  <c r="D328" i="8"/>
  <c r="F328" i="8" s="1"/>
  <c r="E328" i="8"/>
  <c r="D329" i="8"/>
  <c r="E329" i="8"/>
  <c r="D330" i="8"/>
  <c r="E330" i="8"/>
  <c r="F330" i="8"/>
  <c r="D331" i="8"/>
  <c r="E331" i="8"/>
  <c r="D332" i="8"/>
  <c r="E332" i="8"/>
  <c r="D333" i="8"/>
  <c r="E333" i="8"/>
  <c r="D334" i="8"/>
  <c r="E334" i="8"/>
  <c r="E10" i="8"/>
  <c r="D10" i="8"/>
  <c r="F10" i="8" s="1"/>
  <c r="C11" i="8"/>
  <c r="C12" i="8"/>
  <c r="C13" i="8"/>
  <c r="C14" i="8"/>
  <c r="C15" i="8"/>
  <c r="C336" i="8" s="1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291" i="8"/>
  <c r="C292" i="8"/>
  <c r="C293" i="8"/>
  <c r="C294" i="8"/>
  <c r="C295" i="8"/>
  <c r="C296" i="8"/>
  <c r="C297" i="8"/>
  <c r="C298" i="8"/>
  <c r="C299" i="8"/>
  <c r="C300" i="8"/>
  <c r="C301" i="8"/>
  <c r="C302" i="8"/>
  <c r="C303" i="8"/>
  <c r="C304" i="8"/>
  <c r="C305" i="8"/>
  <c r="C306" i="8"/>
  <c r="C307" i="8"/>
  <c r="C308" i="8"/>
  <c r="C309" i="8"/>
  <c r="C310" i="8"/>
  <c r="C311" i="8"/>
  <c r="C312" i="8"/>
  <c r="C313" i="8"/>
  <c r="C314" i="8"/>
  <c r="C315" i="8"/>
  <c r="C316" i="8"/>
  <c r="C317" i="8"/>
  <c r="C318" i="8"/>
  <c r="C319" i="8"/>
  <c r="C320" i="8"/>
  <c r="C321" i="8"/>
  <c r="C322" i="8"/>
  <c r="C323" i="8"/>
  <c r="C324" i="8"/>
  <c r="C325" i="8"/>
  <c r="C326" i="8"/>
  <c r="C327" i="8"/>
  <c r="C328" i="8"/>
  <c r="C329" i="8"/>
  <c r="C330" i="8"/>
  <c r="C331" i="8"/>
  <c r="C332" i="8"/>
  <c r="C333" i="8"/>
  <c r="C334" i="8"/>
  <c r="C10" i="8"/>
  <c r="B11" i="8"/>
  <c r="B12" i="8"/>
  <c r="B13" i="8"/>
  <c r="B14" i="8"/>
  <c r="B15" i="8"/>
  <c r="B341" i="8" s="1"/>
  <c r="B16" i="8"/>
  <c r="B17" i="8"/>
  <c r="N17" i="8" s="1"/>
  <c r="O17" i="8" s="1"/>
  <c r="B18" i="8"/>
  <c r="B19" i="8"/>
  <c r="N19" i="8" s="1"/>
  <c r="O19" i="8" s="1"/>
  <c r="B20" i="8"/>
  <c r="N20" i="8" s="1"/>
  <c r="O20" i="8" s="1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N34" i="8" s="1"/>
  <c r="O34" i="8" s="1"/>
  <c r="B35" i="8"/>
  <c r="N35" i="8" s="1"/>
  <c r="O35" i="8" s="1"/>
  <c r="B36" i="8"/>
  <c r="B37" i="8"/>
  <c r="B38" i="8"/>
  <c r="B39" i="8"/>
  <c r="B40" i="8"/>
  <c r="N40" i="8" s="1"/>
  <c r="O40" i="8" s="1"/>
  <c r="B41" i="8"/>
  <c r="N41" i="8" s="1"/>
  <c r="O41" i="8" s="1"/>
  <c r="B42" i="8"/>
  <c r="N42" i="8" s="1"/>
  <c r="O42" i="8" s="1"/>
  <c r="B43" i="8"/>
  <c r="B44" i="8"/>
  <c r="B45" i="8"/>
  <c r="B46" i="8"/>
  <c r="B47" i="8"/>
  <c r="B48" i="8"/>
  <c r="B49" i="8"/>
  <c r="N49" i="8" s="1"/>
  <c r="O49" i="8" s="1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N64" i="8" s="1"/>
  <c r="O64" i="8" s="1"/>
  <c r="B65" i="8"/>
  <c r="N65" i="8" s="1"/>
  <c r="O65" i="8" s="1"/>
  <c r="B66" i="8"/>
  <c r="B67" i="8"/>
  <c r="N67" i="8" s="1"/>
  <c r="O67" i="8" s="1"/>
  <c r="B68" i="8"/>
  <c r="B69" i="8"/>
  <c r="B70" i="8"/>
  <c r="B71" i="8"/>
  <c r="N71" i="8" s="1"/>
  <c r="O71" i="8" s="1"/>
  <c r="B72" i="8"/>
  <c r="B73" i="8"/>
  <c r="B74" i="8"/>
  <c r="B75" i="8"/>
  <c r="B76" i="8"/>
  <c r="N76" i="8" s="1"/>
  <c r="O76" i="8" s="1"/>
  <c r="B77" i="8"/>
  <c r="B78" i="8"/>
  <c r="B79" i="8"/>
  <c r="B80" i="8"/>
  <c r="B81" i="8"/>
  <c r="N81" i="8" s="1"/>
  <c r="O81" i="8" s="1"/>
  <c r="B82" i="8"/>
  <c r="B83" i="8"/>
  <c r="B84" i="8"/>
  <c r="B85" i="8"/>
  <c r="B86" i="8"/>
  <c r="B87" i="8"/>
  <c r="B88" i="8"/>
  <c r="N88" i="8" s="1"/>
  <c r="O88" i="8" s="1"/>
  <c r="B89" i="8"/>
  <c r="B90" i="8"/>
  <c r="B91" i="8"/>
  <c r="B92" i="8"/>
  <c r="B93" i="8"/>
  <c r="B94" i="8"/>
  <c r="B95" i="8"/>
  <c r="B96" i="8"/>
  <c r="B97" i="8"/>
  <c r="N97" i="8" s="1"/>
  <c r="O97" i="8" s="1"/>
  <c r="B98" i="8"/>
  <c r="B99" i="8"/>
  <c r="N99" i="8" s="1"/>
  <c r="O99" i="8" s="1"/>
  <c r="B100" i="8"/>
  <c r="B101" i="8"/>
  <c r="B102" i="8"/>
  <c r="B103" i="8"/>
  <c r="N103" i="8" s="1"/>
  <c r="O103" i="8" s="1"/>
  <c r="B104" i="8"/>
  <c r="B105" i="8"/>
  <c r="B106" i="8"/>
  <c r="B107" i="8"/>
  <c r="N107" i="8" s="1"/>
  <c r="O107" i="8" s="1"/>
  <c r="B108" i="8"/>
  <c r="N108" i="8" s="1"/>
  <c r="O108" i="8" s="1"/>
  <c r="B109" i="8"/>
  <c r="B110" i="8"/>
  <c r="B111" i="8"/>
  <c r="N111" i="8" s="1"/>
  <c r="O111" i="8" s="1"/>
  <c r="B112" i="8"/>
  <c r="B113" i="8"/>
  <c r="N113" i="8" s="1"/>
  <c r="O113" i="8" s="1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N129" i="8" s="1"/>
  <c r="O129" i="8" s="1"/>
  <c r="B130" i="8"/>
  <c r="N130" i="8" s="1"/>
  <c r="O130" i="8" s="1"/>
  <c r="B131" i="8"/>
  <c r="N131" i="8" s="1"/>
  <c r="O131" i="8" s="1"/>
  <c r="B132" i="8"/>
  <c r="B133" i="8"/>
  <c r="B134" i="8"/>
  <c r="B135" i="8"/>
  <c r="B136" i="8"/>
  <c r="B137" i="8"/>
  <c r="B138" i="8"/>
  <c r="B139" i="8"/>
  <c r="B140" i="8"/>
  <c r="B141" i="8"/>
  <c r="B142" i="8"/>
  <c r="B143" i="8"/>
  <c r="N143" i="8" s="1"/>
  <c r="O143" i="8" s="1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N160" i="8" s="1"/>
  <c r="O160" i="8" s="1"/>
  <c r="B161" i="8"/>
  <c r="N161" i="8" s="1"/>
  <c r="O161" i="8" s="1"/>
  <c r="B162" i="8"/>
  <c r="N162" i="8" s="1"/>
  <c r="O162" i="8" s="1"/>
  <c r="B163" i="8"/>
  <c r="B164" i="8"/>
  <c r="B165" i="8"/>
  <c r="B166" i="8"/>
  <c r="N166" i="8" s="1"/>
  <c r="O166" i="8" s="1"/>
  <c r="B167" i="8"/>
  <c r="N167" i="8" s="1"/>
  <c r="O167" i="8" s="1"/>
  <c r="B168" i="8"/>
  <c r="N168" i="8" s="1"/>
  <c r="O168" i="8" s="1"/>
  <c r="B169" i="8"/>
  <c r="B170" i="8"/>
  <c r="B171" i="8"/>
  <c r="B172" i="8"/>
  <c r="N172" i="8" s="1"/>
  <c r="O172" i="8" s="1"/>
  <c r="B173" i="8"/>
  <c r="N173" i="8" s="1"/>
  <c r="O173" i="8" s="1"/>
  <c r="B174" i="8"/>
  <c r="B175" i="8"/>
  <c r="B176" i="8"/>
  <c r="N176" i="8" s="1"/>
  <c r="O176" i="8" s="1"/>
  <c r="B177" i="8"/>
  <c r="B178" i="8"/>
  <c r="B179" i="8"/>
  <c r="B180" i="8"/>
  <c r="B181" i="8"/>
  <c r="B182" i="8"/>
  <c r="B183" i="8"/>
  <c r="B184" i="8"/>
  <c r="N184" i="8" s="1"/>
  <c r="O184" i="8" s="1"/>
  <c r="B185" i="8"/>
  <c r="N185" i="8" s="1"/>
  <c r="O185" i="8" s="1"/>
  <c r="B186" i="8"/>
  <c r="B187" i="8"/>
  <c r="B188" i="8"/>
  <c r="B189" i="8"/>
  <c r="B190" i="8"/>
  <c r="B191" i="8"/>
  <c r="B192" i="8"/>
  <c r="N192" i="8" s="1"/>
  <c r="O192" i="8" s="1"/>
  <c r="B193" i="8"/>
  <c r="N193" i="8" s="1"/>
  <c r="O193" i="8" s="1"/>
  <c r="B194" i="8"/>
  <c r="B195" i="8"/>
  <c r="N195" i="8" s="1"/>
  <c r="O195" i="8" s="1"/>
  <c r="B196" i="8"/>
  <c r="N196" i="8" s="1"/>
  <c r="O196" i="8" s="1"/>
  <c r="B197" i="8"/>
  <c r="B198" i="8"/>
  <c r="N198" i="8" s="1"/>
  <c r="O198" i="8" s="1"/>
  <c r="B199" i="8"/>
  <c r="B200" i="8"/>
  <c r="B201" i="8"/>
  <c r="B202" i="8"/>
  <c r="B203" i="8"/>
  <c r="B204" i="8"/>
  <c r="N204" i="8" s="1"/>
  <c r="O204" i="8" s="1"/>
  <c r="B205" i="8"/>
  <c r="B206" i="8"/>
  <c r="B207" i="8"/>
  <c r="B208" i="8"/>
  <c r="B209" i="8"/>
  <c r="N209" i="8" s="1"/>
  <c r="O209" i="8" s="1"/>
  <c r="B210" i="8"/>
  <c r="B211" i="8"/>
  <c r="B212" i="8"/>
  <c r="B213" i="8"/>
  <c r="B214" i="8"/>
  <c r="B215" i="8"/>
  <c r="B216" i="8"/>
  <c r="N216" i="8" s="1"/>
  <c r="O216" i="8" s="1"/>
  <c r="B217" i="8"/>
  <c r="B218" i="8"/>
  <c r="B219" i="8"/>
  <c r="B220" i="8"/>
  <c r="B221" i="8"/>
  <c r="B222" i="8"/>
  <c r="B223" i="8"/>
  <c r="B224" i="8"/>
  <c r="B225" i="8"/>
  <c r="N225" i="8" s="1"/>
  <c r="O225" i="8" s="1"/>
  <c r="B226" i="8"/>
  <c r="B227" i="8"/>
  <c r="N227" i="8" s="1"/>
  <c r="O227" i="8" s="1"/>
  <c r="B228" i="8"/>
  <c r="B229" i="8"/>
  <c r="B230" i="8"/>
  <c r="N230" i="8" s="1"/>
  <c r="O230" i="8" s="1"/>
  <c r="B231" i="8"/>
  <c r="N231" i="8" s="1"/>
  <c r="O231" i="8" s="1"/>
  <c r="B232" i="8"/>
  <c r="B233" i="8"/>
  <c r="B234" i="8"/>
  <c r="B235" i="8"/>
  <c r="N235" i="8" s="1"/>
  <c r="O235" i="8" s="1"/>
  <c r="B236" i="8"/>
  <c r="N236" i="8" s="1"/>
  <c r="O236" i="8" s="1"/>
  <c r="B237" i="8"/>
  <c r="B238" i="8"/>
  <c r="B239" i="8"/>
  <c r="B240" i="8"/>
  <c r="B241" i="8"/>
  <c r="N241" i="8" s="1"/>
  <c r="O241" i="8" s="1"/>
  <c r="B242" i="8"/>
  <c r="B243" i="8"/>
  <c r="B244" i="8"/>
  <c r="B245" i="8"/>
  <c r="B246" i="8"/>
  <c r="B247" i="8"/>
  <c r="B248" i="8"/>
  <c r="B249" i="8"/>
  <c r="B250" i="8"/>
  <c r="B251" i="8"/>
  <c r="B252" i="8"/>
  <c r="B253" i="8"/>
  <c r="B254" i="8"/>
  <c r="B255" i="8"/>
  <c r="B256" i="8"/>
  <c r="B257" i="8"/>
  <c r="N257" i="8" s="1"/>
  <c r="O257" i="8" s="1"/>
  <c r="B258" i="8"/>
  <c r="N258" i="8" s="1"/>
  <c r="O258" i="8" s="1"/>
  <c r="B259" i="8"/>
  <c r="N259" i="8" s="1"/>
  <c r="O259" i="8" s="1"/>
  <c r="B260" i="8"/>
  <c r="B261" i="8"/>
  <c r="B262" i="8"/>
  <c r="B263" i="8"/>
  <c r="B264" i="8"/>
  <c r="B265" i="8"/>
  <c r="B266" i="8"/>
  <c r="B267" i="8"/>
  <c r="B268" i="8"/>
  <c r="B269" i="8"/>
  <c r="B270" i="8"/>
  <c r="B271" i="8"/>
  <c r="N271" i="8" s="1"/>
  <c r="O271" i="8" s="1"/>
  <c r="B272" i="8"/>
  <c r="B273" i="8"/>
  <c r="B274" i="8"/>
  <c r="B275" i="8"/>
  <c r="B276" i="8"/>
  <c r="B277" i="8"/>
  <c r="B278" i="8"/>
  <c r="B279" i="8"/>
  <c r="B280" i="8"/>
  <c r="B281" i="8"/>
  <c r="B282" i="8"/>
  <c r="B283" i="8"/>
  <c r="B284" i="8"/>
  <c r="B285" i="8"/>
  <c r="B286" i="8"/>
  <c r="B287" i="8"/>
  <c r="B288" i="8"/>
  <c r="N288" i="8" s="1"/>
  <c r="O288" i="8" s="1"/>
  <c r="B289" i="8"/>
  <c r="N289" i="8" s="1"/>
  <c r="O289" i="8" s="1"/>
  <c r="B290" i="8"/>
  <c r="N290" i="8" s="1"/>
  <c r="O290" i="8" s="1"/>
  <c r="B291" i="8"/>
  <c r="B292" i="8"/>
  <c r="B293" i="8"/>
  <c r="B294" i="8"/>
  <c r="B295" i="8"/>
  <c r="B296" i="8"/>
  <c r="N296" i="8" s="1"/>
  <c r="O296" i="8" s="1"/>
  <c r="B297" i="8"/>
  <c r="B298" i="8"/>
  <c r="B299" i="8"/>
  <c r="B300" i="8"/>
  <c r="N300" i="8" s="1"/>
  <c r="O300" i="8" s="1"/>
  <c r="B301" i="8"/>
  <c r="N301" i="8" s="1"/>
  <c r="O301" i="8" s="1"/>
  <c r="B302" i="8"/>
  <c r="B303" i="8"/>
  <c r="B304" i="8"/>
  <c r="N304" i="8" s="1"/>
  <c r="O304" i="8" s="1"/>
  <c r="B305" i="8"/>
  <c r="B306" i="8"/>
  <c r="B307" i="8"/>
  <c r="B308" i="8"/>
  <c r="B309" i="8"/>
  <c r="B310" i="8"/>
  <c r="B311" i="8"/>
  <c r="B312" i="8"/>
  <c r="N312" i="8" s="1"/>
  <c r="O312" i="8" s="1"/>
  <c r="B313" i="8"/>
  <c r="N313" i="8" s="1"/>
  <c r="O313" i="8" s="1"/>
  <c r="B314" i="8"/>
  <c r="B315" i="8"/>
  <c r="B316" i="8"/>
  <c r="B317" i="8"/>
  <c r="B318" i="8"/>
  <c r="B319" i="8"/>
  <c r="B320" i="8"/>
  <c r="N320" i="8" s="1"/>
  <c r="O320" i="8" s="1"/>
  <c r="B321" i="8"/>
  <c r="N321" i="8" s="1"/>
  <c r="O321" i="8" s="1"/>
  <c r="B322" i="8"/>
  <c r="B323" i="8"/>
  <c r="N323" i="8" s="1"/>
  <c r="O323" i="8" s="1"/>
  <c r="B324" i="8"/>
  <c r="N324" i="8" s="1"/>
  <c r="O324" i="8" s="1"/>
  <c r="B325" i="8"/>
  <c r="B326" i="8"/>
  <c r="B327" i="8"/>
  <c r="B328" i="8"/>
  <c r="B329" i="8"/>
  <c r="B330" i="8"/>
  <c r="B331" i="8"/>
  <c r="B332" i="8"/>
  <c r="N332" i="8" s="1"/>
  <c r="O332" i="8" s="1"/>
  <c r="B333" i="8"/>
  <c r="B334" i="8"/>
  <c r="B10" i="8"/>
  <c r="V308" i="9" l="1"/>
  <c r="W308" i="9" s="1"/>
  <c r="V160" i="9"/>
  <c r="W160" i="9" s="1"/>
  <c r="V33" i="9"/>
  <c r="W33" i="9" s="1"/>
  <c r="V62" i="9"/>
  <c r="W62" i="9" s="1"/>
  <c r="V295" i="9"/>
  <c r="W295" i="9" s="1"/>
  <c r="X196" i="9"/>
  <c r="Y196" i="9" s="1"/>
  <c r="X145" i="9"/>
  <c r="Y145" i="9" s="1"/>
  <c r="I140" i="10"/>
  <c r="X140" i="9"/>
  <c r="Y140" i="9" s="1"/>
  <c r="I268" i="10"/>
  <c r="X268" i="9"/>
  <c r="Y268" i="9" s="1"/>
  <c r="I274" i="10"/>
  <c r="X274" i="9"/>
  <c r="Y274" i="9" s="1"/>
  <c r="W71" i="9"/>
  <c r="I71" i="10" s="1"/>
  <c r="X307" i="9"/>
  <c r="Y307" i="9" s="1"/>
  <c r="X331" i="9"/>
  <c r="Y331" i="9" s="1"/>
  <c r="X88" i="9"/>
  <c r="Y88" i="9" s="1"/>
  <c r="T341" i="9"/>
  <c r="W238" i="9"/>
  <c r="W149" i="9"/>
  <c r="I149" i="10" s="1"/>
  <c r="W281" i="9"/>
  <c r="W288" i="9"/>
  <c r="W318" i="9"/>
  <c r="X318" i="9" s="1"/>
  <c r="Y318" i="9" s="1"/>
  <c r="R336" i="9"/>
  <c r="W23" i="9"/>
  <c r="I23" i="10" s="1"/>
  <c r="W244" i="9"/>
  <c r="I244" i="10" s="1"/>
  <c r="W32" i="9"/>
  <c r="I32" i="10" s="1"/>
  <c r="X147" i="9"/>
  <c r="Y147" i="9" s="1"/>
  <c r="I147" i="10"/>
  <c r="X144" i="9"/>
  <c r="Y144" i="9" s="1"/>
  <c r="I144" i="10"/>
  <c r="X128" i="9"/>
  <c r="Y128" i="9" s="1"/>
  <c r="I128" i="10"/>
  <c r="X299" i="9"/>
  <c r="Y299" i="9" s="1"/>
  <c r="I299" i="10"/>
  <c r="X314" i="9"/>
  <c r="Y314" i="9" s="1"/>
  <c r="I314" i="10"/>
  <c r="X229" i="9"/>
  <c r="Y229" i="9" s="1"/>
  <c r="I229" i="10"/>
  <c r="X322" i="9"/>
  <c r="Y322" i="9" s="1"/>
  <c r="I322" i="10"/>
  <c r="X26" i="9"/>
  <c r="Y26" i="9" s="1"/>
  <c r="I26" i="10"/>
  <c r="X77" i="9"/>
  <c r="Y77" i="9" s="1"/>
  <c r="I77" i="10"/>
  <c r="I284" i="10"/>
  <c r="X284" i="9"/>
  <c r="Y284" i="9" s="1"/>
  <c r="X305" i="9"/>
  <c r="Y305" i="9" s="1"/>
  <c r="I305" i="10"/>
  <c r="W320" i="9"/>
  <c r="X51" i="9"/>
  <c r="Y51" i="9" s="1"/>
  <c r="I51" i="10"/>
  <c r="X214" i="9"/>
  <c r="Y214" i="9" s="1"/>
  <c r="I214" i="10"/>
  <c r="X265" i="9"/>
  <c r="Y265" i="9" s="1"/>
  <c r="I265" i="10"/>
  <c r="X277" i="9"/>
  <c r="Y277" i="9" s="1"/>
  <c r="I277" i="10"/>
  <c r="X181" i="9"/>
  <c r="Y181" i="9" s="1"/>
  <c r="I181" i="10"/>
  <c r="X152" i="9"/>
  <c r="Y152" i="9" s="1"/>
  <c r="I152" i="10"/>
  <c r="X219" i="9"/>
  <c r="Y219" i="9" s="1"/>
  <c r="I219" i="10"/>
  <c r="I61" i="10"/>
  <c r="X61" i="9"/>
  <c r="Y61" i="9" s="1"/>
  <c r="X264" i="9"/>
  <c r="Y264" i="9" s="1"/>
  <c r="I264" i="10"/>
  <c r="X97" i="9"/>
  <c r="Y97" i="9" s="1"/>
  <c r="I97" i="10"/>
  <c r="X275" i="9"/>
  <c r="Y275" i="9" s="1"/>
  <c r="I275" i="10"/>
  <c r="X250" i="9"/>
  <c r="Y250" i="9" s="1"/>
  <c r="I250" i="10"/>
  <c r="X175" i="9"/>
  <c r="Y175" i="9" s="1"/>
  <c r="I175" i="10"/>
  <c r="X70" i="9"/>
  <c r="Y70" i="9" s="1"/>
  <c r="I70" i="10"/>
  <c r="X176" i="9"/>
  <c r="Y176" i="9" s="1"/>
  <c r="I176" i="10"/>
  <c r="X170" i="9"/>
  <c r="Y170" i="9" s="1"/>
  <c r="I170" i="10"/>
  <c r="X298" i="9"/>
  <c r="Y298" i="9" s="1"/>
  <c r="I298" i="10"/>
  <c r="X48" i="9"/>
  <c r="Y48" i="9" s="1"/>
  <c r="I48" i="10"/>
  <c r="X27" i="9"/>
  <c r="Y27" i="9" s="1"/>
  <c r="I27" i="10"/>
  <c r="X256" i="9"/>
  <c r="Y256" i="9" s="1"/>
  <c r="I256" i="10"/>
  <c r="X272" i="9"/>
  <c r="Y272" i="9" s="1"/>
  <c r="I272" i="10"/>
  <c r="X79" i="9"/>
  <c r="Y79" i="9" s="1"/>
  <c r="I79" i="10"/>
  <c r="I192" i="10"/>
  <c r="X192" i="9"/>
  <c r="Y192" i="9" s="1"/>
  <c r="X290" i="9"/>
  <c r="Y290" i="9" s="1"/>
  <c r="I290" i="10"/>
  <c r="X189" i="9"/>
  <c r="Y189" i="9" s="1"/>
  <c r="I189" i="10"/>
  <c r="X13" i="9"/>
  <c r="Y13" i="9" s="1"/>
  <c r="I13" i="10"/>
  <c r="I35" i="10"/>
  <c r="X35" i="9"/>
  <c r="Y35" i="9" s="1"/>
  <c r="X108" i="9"/>
  <c r="Y108" i="9" s="1"/>
  <c r="I108" i="10"/>
  <c r="I123" i="10"/>
  <c r="X123" i="9"/>
  <c r="Y123" i="9" s="1"/>
  <c r="X200" i="9"/>
  <c r="Y200" i="9" s="1"/>
  <c r="I200" i="10"/>
  <c r="X269" i="9"/>
  <c r="Y269" i="9" s="1"/>
  <c r="I269" i="10"/>
  <c r="X207" i="9"/>
  <c r="Y207" i="9" s="1"/>
  <c r="I207" i="10"/>
  <c r="X155" i="9"/>
  <c r="Y155" i="9" s="1"/>
  <c r="I155" i="10"/>
  <c r="X182" i="9"/>
  <c r="Y182" i="9" s="1"/>
  <c r="I182" i="10"/>
  <c r="X313" i="9"/>
  <c r="Y313" i="9" s="1"/>
  <c r="I313" i="10"/>
  <c r="X283" i="9"/>
  <c r="Y283" i="9" s="1"/>
  <c r="I283" i="10"/>
  <c r="X24" i="9"/>
  <c r="Y24" i="9" s="1"/>
  <c r="I24" i="10"/>
  <c r="X112" i="9"/>
  <c r="Y112" i="9" s="1"/>
  <c r="I112" i="10"/>
  <c r="I129" i="10"/>
  <c r="X129" i="9"/>
  <c r="Y129" i="9" s="1"/>
  <c r="X173" i="9"/>
  <c r="Y173" i="9" s="1"/>
  <c r="I173" i="10"/>
  <c r="X74" i="9"/>
  <c r="Y74" i="9" s="1"/>
  <c r="I74" i="10"/>
  <c r="X261" i="9"/>
  <c r="Y261" i="9" s="1"/>
  <c r="I261" i="10"/>
  <c r="X258" i="9"/>
  <c r="Y258" i="9" s="1"/>
  <c r="I258" i="10"/>
  <c r="X58" i="9"/>
  <c r="Y58" i="9" s="1"/>
  <c r="I58" i="10"/>
  <c r="W225" i="9"/>
  <c r="X198" i="9"/>
  <c r="Y198" i="9" s="1"/>
  <c r="I198" i="10"/>
  <c r="X49" i="9"/>
  <c r="Y49" i="9" s="1"/>
  <c r="I49" i="10"/>
  <c r="X227" i="9"/>
  <c r="Y227" i="9" s="1"/>
  <c r="I227" i="10"/>
  <c r="X18" i="9"/>
  <c r="Y18" i="9" s="1"/>
  <c r="I18" i="10"/>
  <c r="X151" i="9"/>
  <c r="Y151" i="9" s="1"/>
  <c r="I151" i="10"/>
  <c r="I234" i="10"/>
  <c r="X234" i="9"/>
  <c r="Y234" i="9" s="1"/>
  <c r="X165" i="9"/>
  <c r="Y165" i="9" s="1"/>
  <c r="I165" i="10"/>
  <c r="X90" i="9"/>
  <c r="Y90" i="9" s="1"/>
  <c r="I90" i="10"/>
  <c r="X278" i="9"/>
  <c r="Y278" i="9" s="1"/>
  <c r="I278" i="10"/>
  <c r="I84" i="10"/>
  <c r="X84" i="9"/>
  <c r="Y84" i="9" s="1"/>
  <c r="X125" i="9"/>
  <c r="Y125" i="9" s="1"/>
  <c r="I125" i="10"/>
  <c r="X110" i="9"/>
  <c r="Y110" i="9" s="1"/>
  <c r="I110" i="10"/>
  <c r="X156" i="9"/>
  <c r="Y156" i="9" s="1"/>
  <c r="I156" i="10"/>
  <c r="X86" i="9"/>
  <c r="Y86" i="9" s="1"/>
  <c r="I86" i="10"/>
  <c r="X211" i="9"/>
  <c r="Y211" i="9" s="1"/>
  <c r="I211" i="10"/>
  <c r="X312" i="9"/>
  <c r="Y312" i="9" s="1"/>
  <c r="I312" i="10"/>
  <c r="X317" i="9"/>
  <c r="Y317" i="9" s="1"/>
  <c r="I317" i="10"/>
  <c r="X146" i="9"/>
  <c r="Y146" i="9" s="1"/>
  <c r="I146" i="10"/>
  <c r="X221" i="9"/>
  <c r="Y221" i="9" s="1"/>
  <c r="I221" i="10"/>
  <c r="X296" i="9"/>
  <c r="Y296" i="9" s="1"/>
  <c r="I296" i="10"/>
  <c r="X98" i="9"/>
  <c r="Y98" i="9" s="1"/>
  <c r="I98" i="10"/>
  <c r="X34" i="9"/>
  <c r="Y34" i="9" s="1"/>
  <c r="I34" i="10"/>
  <c r="X224" i="9"/>
  <c r="Y224" i="9" s="1"/>
  <c r="I224" i="10"/>
  <c r="X136" i="9"/>
  <c r="Y136" i="9" s="1"/>
  <c r="I136" i="10"/>
  <c r="I107" i="10"/>
  <c r="X107" i="9"/>
  <c r="Y107" i="9" s="1"/>
  <c r="X102" i="9"/>
  <c r="Y102" i="9" s="1"/>
  <c r="I102" i="10"/>
  <c r="X297" i="9"/>
  <c r="Y297" i="9" s="1"/>
  <c r="I297" i="10"/>
  <c r="X124" i="9"/>
  <c r="Y124" i="9" s="1"/>
  <c r="I124" i="10"/>
  <c r="X95" i="9"/>
  <c r="Y95" i="9" s="1"/>
  <c r="I95" i="10"/>
  <c r="W76" i="9"/>
  <c r="X178" i="9"/>
  <c r="Y178" i="9" s="1"/>
  <c r="I178" i="10"/>
  <c r="X206" i="9"/>
  <c r="Y206" i="9" s="1"/>
  <c r="I206" i="10"/>
  <c r="W28" i="9"/>
  <c r="X20" i="9"/>
  <c r="Y20" i="9" s="1"/>
  <c r="I20" i="10"/>
  <c r="X118" i="9"/>
  <c r="Y118" i="9" s="1"/>
  <c r="I118" i="10"/>
  <c r="X329" i="9"/>
  <c r="Y329" i="9" s="1"/>
  <c r="I329" i="10"/>
  <c r="X56" i="9"/>
  <c r="Y56" i="9" s="1"/>
  <c r="I56" i="10"/>
  <c r="X161" i="9"/>
  <c r="Y161" i="9" s="1"/>
  <c r="I161" i="10"/>
  <c r="X158" i="9"/>
  <c r="Y158" i="9" s="1"/>
  <c r="I158" i="10"/>
  <c r="X16" i="9"/>
  <c r="Y16" i="9" s="1"/>
  <c r="I16" i="10"/>
  <c r="X302" i="9"/>
  <c r="Y302" i="9" s="1"/>
  <c r="I302" i="10"/>
  <c r="X328" i="9"/>
  <c r="Y328" i="9" s="1"/>
  <c r="I328" i="10"/>
  <c r="W39" i="9"/>
  <c r="X203" i="9"/>
  <c r="Y203" i="9" s="1"/>
  <c r="I203" i="10"/>
  <c r="X73" i="9"/>
  <c r="Y73" i="9" s="1"/>
  <c r="I73" i="10"/>
  <c r="X194" i="9"/>
  <c r="Y194" i="9" s="1"/>
  <c r="I194" i="10"/>
  <c r="X293" i="9"/>
  <c r="Y293" i="9" s="1"/>
  <c r="I293" i="10"/>
  <c r="W143" i="9"/>
  <c r="X55" i="9"/>
  <c r="Y55" i="9" s="1"/>
  <c r="I55" i="10"/>
  <c r="X197" i="9"/>
  <c r="Y197" i="9" s="1"/>
  <c r="I197" i="10"/>
  <c r="X180" i="9"/>
  <c r="Y180" i="9" s="1"/>
  <c r="I180" i="10"/>
  <c r="X82" i="9"/>
  <c r="Y82" i="9" s="1"/>
  <c r="I82" i="10"/>
  <c r="X280" i="9"/>
  <c r="Y280" i="9" s="1"/>
  <c r="I280" i="10"/>
  <c r="X137" i="9"/>
  <c r="Y137" i="9" s="1"/>
  <c r="I137" i="10"/>
  <c r="X199" i="9"/>
  <c r="Y199" i="9" s="1"/>
  <c r="I199" i="10"/>
  <c r="X257" i="9"/>
  <c r="Y257" i="9" s="1"/>
  <c r="I257" i="10"/>
  <c r="W217" i="9"/>
  <c r="W332" i="9"/>
  <c r="X99" i="9"/>
  <c r="Y99" i="9" s="1"/>
  <c r="I99" i="10"/>
  <c r="X87" i="9"/>
  <c r="Y87" i="9" s="1"/>
  <c r="I87" i="10"/>
  <c r="X54" i="9"/>
  <c r="Y54" i="9" s="1"/>
  <c r="I54" i="10"/>
  <c r="X185" i="9"/>
  <c r="Y185" i="9" s="1"/>
  <c r="I185" i="10"/>
  <c r="X237" i="9"/>
  <c r="Y237" i="9" s="1"/>
  <c r="I237" i="10"/>
  <c r="W134" i="9"/>
  <c r="X53" i="9"/>
  <c r="Y53" i="9" s="1"/>
  <c r="I53" i="10"/>
  <c r="X103" i="9"/>
  <c r="Y103" i="9" s="1"/>
  <c r="I103" i="10"/>
  <c r="X186" i="9"/>
  <c r="Y186" i="9" s="1"/>
  <c r="I186" i="10"/>
  <c r="X43" i="9"/>
  <c r="Y43" i="9" s="1"/>
  <c r="I43" i="10"/>
  <c r="W85" i="9"/>
  <c r="W135" i="9"/>
  <c r="W254" i="9"/>
  <c r="W315" i="9"/>
  <c r="X104" i="9"/>
  <c r="Y104" i="9" s="1"/>
  <c r="I104" i="10"/>
  <c r="X287" i="9"/>
  <c r="Y287" i="9" s="1"/>
  <c r="I287" i="10"/>
  <c r="X195" i="9"/>
  <c r="Y195" i="9" s="1"/>
  <c r="I195" i="10"/>
  <c r="X232" i="9"/>
  <c r="Y232" i="9" s="1"/>
  <c r="I232" i="10"/>
  <c r="X17" i="9"/>
  <c r="Y17" i="9" s="1"/>
  <c r="I17" i="10"/>
  <c r="W64" i="9"/>
  <c r="W279" i="9"/>
  <c r="X44" i="9"/>
  <c r="Y44" i="9" s="1"/>
  <c r="I44" i="10"/>
  <c r="X184" i="9"/>
  <c r="Y184" i="9" s="1"/>
  <c r="I184" i="10"/>
  <c r="X263" i="9"/>
  <c r="Y263" i="9" s="1"/>
  <c r="I263" i="10"/>
  <c r="X188" i="9"/>
  <c r="Y188" i="9" s="1"/>
  <c r="I188" i="10"/>
  <c r="W294" i="9"/>
  <c r="W11" i="9"/>
  <c r="W12" i="9"/>
  <c r="X193" i="9"/>
  <c r="Y193" i="9" s="1"/>
  <c r="I193" i="10"/>
  <c r="X163" i="9"/>
  <c r="Y163" i="9" s="1"/>
  <c r="I163" i="10"/>
  <c r="X25" i="9"/>
  <c r="Y25" i="9" s="1"/>
  <c r="I25" i="10"/>
  <c r="X228" i="9"/>
  <c r="Y228" i="9" s="1"/>
  <c r="I228" i="10"/>
  <c r="X171" i="9"/>
  <c r="Y171" i="9" s="1"/>
  <c r="I171" i="10"/>
  <c r="X46" i="9"/>
  <c r="Y46" i="9" s="1"/>
  <c r="I46" i="10"/>
  <c r="X41" i="9"/>
  <c r="Y41" i="9" s="1"/>
  <c r="I41" i="10"/>
  <c r="X29" i="9"/>
  <c r="Y29" i="9" s="1"/>
  <c r="I29" i="10"/>
  <c r="X138" i="9"/>
  <c r="Y138" i="9" s="1"/>
  <c r="I138" i="10"/>
  <c r="X15" i="9"/>
  <c r="Y15" i="9" s="1"/>
  <c r="I15" i="10"/>
  <c r="X69" i="9"/>
  <c r="Y69" i="9" s="1"/>
  <c r="I69" i="10"/>
  <c r="X247" i="9"/>
  <c r="Y247" i="9" s="1"/>
  <c r="I247" i="10"/>
  <c r="W132" i="9"/>
  <c r="X47" i="9"/>
  <c r="Y47" i="9" s="1"/>
  <c r="I47" i="10"/>
  <c r="W127" i="9"/>
  <c r="X230" i="9"/>
  <c r="Y230" i="9" s="1"/>
  <c r="X75" i="9"/>
  <c r="Y75" i="9" s="1"/>
  <c r="I75" i="10"/>
  <c r="X106" i="9"/>
  <c r="Y106" i="9" s="1"/>
  <c r="I106" i="10"/>
  <c r="X81" i="9"/>
  <c r="Y81" i="9" s="1"/>
  <c r="I81" i="10"/>
  <c r="X14" i="9"/>
  <c r="Y14" i="9" s="1"/>
  <c r="I14" i="10"/>
  <c r="X91" i="9"/>
  <c r="Y91" i="9" s="1"/>
  <c r="I91" i="10"/>
  <c r="W63" i="9"/>
  <c r="W66" i="9"/>
  <c r="X164" i="9"/>
  <c r="Y164" i="9" s="1"/>
  <c r="I164" i="10"/>
  <c r="X101" i="9"/>
  <c r="Y101" i="9" s="1"/>
  <c r="I101" i="10"/>
  <c r="X316" i="9"/>
  <c r="Y316" i="9" s="1"/>
  <c r="X311" i="9"/>
  <c r="Y311" i="9" s="1"/>
  <c r="I311" i="10"/>
  <c r="X248" i="9"/>
  <c r="Y248" i="9" s="1"/>
  <c r="I248" i="10"/>
  <c r="X292" i="9"/>
  <c r="Y292" i="9" s="1"/>
  <c r="I292" i="10"/>
  <c r="X300" i="9"/>
  <c r="Y300" i="9" s="1"/>
  <c r="I300" i="10"/>
  <c r="X239" i="9"/>
  <c r="Y239" i="9" s="1"/>
  <c r="I239" i="10"/>
  <c r="X153" i="9"/>
  <c r="Y153" i="9" s="1"/>
  <c r="I153" i="10"/>
  <c r="W267" i="9"/>
  <c r="X166" i="9"/>
  <c r="Y166" i="9" s="1"/>
  <c r="I166" i="10"/>
  <c r="X22" i="9"/>
  <c r="Y22" i="9" s="1"/>
  <c r="I22" i="10"/>
  <c r="X301" i="9"/>
  <c r="Y301" i="9" s="1"/>
  <c r="I301" i="10"/>
  <c r="X209" i="9"/>
  <c r="Y209" i="9" s="1"/>
  <c r="I209" i="10"/>
  <c r="X304" i="9"/>
  <c r="Y304" i="9" s="1"/>
  <c r="I304" i="10"/>
  <c r="X177" i="9"/>
  <c r="Y177" i="9" s="1"/>
  <c r="I177" i="10"/>
  <c r="X36" i="9"/>
  <c r="Y36" i="9" s="1"/>
  <c r="I36" i="10"/>
  <c r="X148" i="9"/>
  <c r="Y148" i="9" s="1"/>
  <c r="I148" i="10"/>
  <c r="X319" i="9"/>
  <c r="Y319" i="9" s="1"/>
  <c r="I319" i="10"/>
  <c r="X242" i="9"/>
  <c r="Y242" i="9" s="1"/>
  <c r="X122" i="9"/>
  <c r="Y122" i="9" s="1"/>
  <c r="I122" i="10"/>
  <c r="X65" i="9"/>
  <c r="Y65" i="9" s="1"/>
  <c r="I65" i="10"/>
  <c r="X109" i="9"/>
  <c r="Y109" i="9" s="1"/>
  <c r="I109" i="10"/>
  <c r="X326" i="9"/>
  <c r="Y326" i="9" s="1"/>
  <c r="I326" i="10"/>
  <c r="X321" i="9"/>
  <c r="Y321" i="9" s="1"/>
  <c r="I321" i="10"/>
  <c r="X246" i="9"/>
  <c r="Y246" i="9" s="1"/>
  <c r="I246" i="10"/>
  <c r="R341" i="9"/>
  <c r="X259" i="9"/>
  <c r="Y259" i="9" s="1"/>
  <c r="I259" i="10"/>
  <c r="X213" i="9"/>
  <c r="Y213" i="9" s="1"/>
  <c r="I213" i="10"/>
  <c r="X57" i="9"/>
  <c r="Y57" i="9" s="1"/>
  <c r="I57" i="10"/>
  <c r="X157" i="9"/>
  <c r="Y157" i="9" s="1"/>
  <c r="I157" i="10"/>
  <c r="X252" i="9"/>
  <c r="Y252" i="9" s="1"/>
  <c r="I252" i="10"/>
  <c r="W131" i="9"/>
  <c r="X241" i="9"/>
  <c r="Y241" i="9" s="1"/>
  <c r="I241" i="10"/>
  <c r="X114" i="9"/>
  <c r="Y114" i="9" s="1"/>
  <c r="I114" i="10"/>
  <c r="X130" i="9"/>
  <c r="Y130" i="9" s="1"/>
  <c r="I130" i="10"/>
  <c r="X324" i="9"/>
  <c r="Y324" i="9" s="1"/>
  <c r="I324" i="10"/>
  <c r="X150" i="9"/>
  <c r="Y150" i="9" s="1"/>
  <c r="I150" i="10"/>
  <c r="X31" i="9"/>
  <c r="Y31" i="9" s="1"/>
  <c r="I31" i="10"/>
  <c r="X218" i="9"/>
  <c r="Y218" i="9" s="1"/>
  <c r="I218" i="10"/>
  <c r="X174" i="9"/>
  <c r="Y174" i="9" s="1"/>
  <c r="I174" i="10"/>
  <c r="X260" i="9"/>
  <c r="Y260" i="9" s="1"/>
  <c r="I260" i="10"/>
  <c r="W222" i="9"/>
  <c r="X245" i="9"/>
  <c r="Y245" i="9" s="1"/>
  <c r="I245" i="10"/>
  <c r="W113" i="9"/>
  <c r="X226" i="9"/>
  <c r="Y226" i="9" s="1"/>
  <c r="I226" i="10"/>
  <c r="X83" i="9"/>
  <c r="Y83" i="9" s="1"/>
  <c r="I83" i="10"/>
  <c r="X266" i="9"/>
  <c r="Y266" i="9" s="1"/>
  <c r="I266" i="10"/>
  <c r="X285" i="9"/>
  <c r="Y285" i="9" s="1"/>
  <c r="I285" i="10"/>
  <c r="X190" i="9"/>
  <c r="Y190" i="9" s="1"/>
  <c r="I190" i="10"/>
  <c r="X154" i="9"/>
  <c r="Y154" i="9" s="1"/>
  <c r="I154" i="10"/>
  <c r="X323" i="9"/>
  <c r="Y323" i="9" s="1"/>
  <c r="I323" i="10"/>
  <c r="X270" i="9"/>
  <c r="Y270" i="9" s="1"/>
  <c r="I270" i="10"/>
  <c r="X303" i="9"/>
  <c r="Y303" i="9" s="1"/>
  <c r="X243" i="9"/>
  <c r="Y243" i="9" s="1"/>
  <c r="I243" i="10"/>
  <c r="X220" i="9"/>
  <c r="Y220" i="9" s="1"/>
  <c r="I220" i="10"/>
  <c r="X172" i="9"/>
  <c r="Y172" i="9" s="1"/>
  <c r="I172" i="10"/>
  <c r="X309" i="9"/>
  <c r="Y309" i="9" s="1"/>
  <c r="I309" i="10"/>
  <c r="X201" i="9"/>
  <c r="Y201" i="9" s="1"/>
  <c r="I201" i="10"/>
  <c r="W78" i="9"/>
  <c r="W159" i="9"/>
  <c r="X42" i="9"/>
  <c r="Y42" i="9" s="1"/>
  <c r="I42" i="10"/>
  <c r="X96" i="9"/>
  <c r="Y96" i="9" s="1"/>
  <c r="I96" i="10"/>
  <c r="W286" i="9"/>
  <c r="X215" i="9"/>
  <c r="Y215" i="9" s="1"/>
  <c r="I215" i="10"/>
  <c r="W191" i="9"/>
  <c r="X105" i="9"/>
  <c r="Y105" i="9" s="1"/>
  <c r="I105" i="10"/>
  <c r="X289" i="9"/>
  <c r="Y289" i="9" s="1"/>
  <c r="I289" i="10"/>
  <c r="X212" i="9"/>
  <c r="Y212" i="9" s="1"/>
  <c r="I212" i="10"/>
  <c r="X168" i="9"/>
  <c r="Y168" i="9" s="1"/>
  <c r="I168" i="10"/>
  <c r="X116" i="9"/>
  <c r="Y116" i="9" s="1"/>
  <c r="I116" i="10"/>
  <c r="X89" i="9"/>
  <c r="Y89" i="9" s="1"/>
  <c r="I89" i="10"/>
  <c r="W334" i="9"/>
  <c r="W208" i="9"/>
  <c r="X183" i="9"/>
  <c r="Y183" i="9" s="1"/>
  <c r="I183" i="10"/>
  <c r="X273" i="9"/>
  <c r="Y273" i="9" s="1"/>
  <c r="I273" i="10"/>
  <c r="X111" i="9"/>
  <c r="Y111" i="9" s="1"/>
  <c r="I111" i="10"/>
  <c r="X249" i="9"/>
  <c r="Y249" i="9" s="1"/>
  <c r="I249" i="10"/>
  <c r="X141" i="9"/>
  <c r="Y141" i="9" s="1"/>
  <c r="I141" i="10"/>
  <c r="X80" i="9"/>
  <c r="Y80" i="9" s="1"/>
  <c r="I80" i="10"/>
  <c r="H30" i="8"/>
  <c r="I30" i="8" s="1"/>
  <c r="U339" i="9"/>
  <c r="U337" i="9"/>
  <c r="U336" i="9"/>
  <c r="U340" i="9"/>
  <c r="U341" i="9"/>
  <c r="U338" i="9"/>
  <c r="W325" i="9"/>
  <c r="X276" i="9"/>
  <c r="Y276" i="9" s="1"/>
  <c r="I276" i="10"/>
  <c r="X72" i="9"/>
  <c r="Y72" i="9" s="1"/>
  <c r="I72" i="10"/>
  <c r="H29" i="8"/>
  <c r="I29" i="8" s="1"/>
  <c r="J29" i="8" s="1"/>
  <c r="K29" i="8" s="1"/>
  <c r="X282" i="9"/>
  <c r="Y282" i="9" s="1"/>
  <c r="X236" i="9"/>
  <c r="Y236" i="9" s="1"/>
  <c r="I236" i="10"/>
  <c r="X330" i="9"/>
  <c r="Y330" i="9" s="1"/>
  <c r="I330" i="10"/>
  <c r="X52" i="9"/>
  <c r="Y52" i="9" s="1"/>
  <c r="I52" i="10"/>
  <c r="W68" i="9"/>
  <c r="W205" i="9"/>
  <c r="W126" i="9"/>
  <c r="X94" i="9"/>
  <c r="Y94" i="9" s="1"/>
  <c r="I94" i="10"/>
  <c r="X240" i="9"/>
  <c r="Y240" i="9" s="1"/>
  <c r="I240" i="10"/>
  <c r="X117" i="9"/>
  <c r="Y117" i="9" s="1"/>
  <c r="I117" i="10"/>
  <c r="W223" i="9"/>
  <c r="W262" i="9"/>
  <c r="X233" i="9"/>
  <c r="Y233" i="9" s="1"/>
  <c r="I233" i="10"/>
  <c r="X231" i="9"/>
  <c r="Y231" i="9" s="1"/>
  <c r="I231" i="10"/>
  <c r="X92" i="9"/>
  <c r="Y92" i="9" s="1"/>
  <c r="I92" i="10"/>
  <c r="X210" i="9"/>
  <c r="Y210" i="9" s="1"/>
  <c r="I210" i="10"/>
  <c r="X93" i="9"/>
  <c r="Y93" i="9" s="1"/>
  <c r="I93" i="10"/>
  <c r="X133" i="9"/>
  <c r="Y133" i="9" s="1"/>
  <c r="I133" i="10"/>
  <c r="X306" i="9"/>
  <c r="Y306" i="9" s="1"/>
  <c r="I306" i="10"/>
  <c r="X333" i="9"/>
  <c r="Y333" i="9" s="1"/>
  <c r="I333" i="10"/>
  <c r="X187" i="9"/>
  <c r="Y187" i="9" s="1"/>
  <c r="I187" i="10"/>
  <c r="X271" i="9"/>
  <c r="Y271" i="9" s="1"/>
  <c r="I271" i="10"/>
  <c r="X251" i="9"/>
  <c r="Y251" i="9" s="1"/>
  <c r="I251" i="10"/>
  <c r="W291" i="9"/>
  <c r="W253" i="9"/>
  <c r="X142" i="9"/>
  <c r="Y142" i="9" s="1"/>
  <c r="I142" i="10"/>
  <c r="X100" i="9"/>
  <c r="Y100" i="9" s="1"/>
  <c r="I100" i="10"/>
  <c r="X38" i="9"/>
  <c r="Y38" i="9" s="1"/>
  <c r="I38" i="10"/>
  <c r="X30" i="9"/>
  <c r="Y30" i="9" s="1"/>
  <c r="I30" i="10"/>
  <c r="X202" i="9"/>
  <c r="Y202" i="9" s="1"/>
  <c r="X119" i="9"/>
  <c r="Y119" i="9" s="1"/>
  <c r="I119" i="10"/>
  <c r="X115" i="9"/>
  <c r="Y115" i="9" s="1"/>
  <c r="I115" i="10"/>
  <c r="W60" i="9"/>
  <c r="X167" i="9"/>
  <c r="Y167" i="9" s="1"/>
  <c r="I167" i="10"/>
  <c r="X169" i="9"/>
  <c r="Y169" i="9" s="1"/>
  <c r="I169" i="10"/>
  <c r="X10" i="9"/>
  <c r="I10" i="10"/>
  <c r="X179" i="9"/>
  <c r="Y179" i="9" s="1"/>
  <c r="I179" i="10"/>
  <c r="X40" i="9"/>
  <c r="Y40" i="9" s="1"/>
  <c r="I40" i="10"/>
  <c r="X310" i="9"/>
  <c r="Y310" i="9" s="1"/>
  <c r="I310" i="10"/>
  <c r="X216" i="9"/>
  <c r="Y216" i="9" s="1"/>
  <c r="I216" i="10"/>
  <c r="X327" i="9"/>
  <c r="Y327" i="9" s="1"/>
  <c r="X235" i="9"/>
  <c r="Y235" i="9" s="1"/>
  <c r="I235" i="10"/>
  <c r="X255" i="9"/>
  <c r="Y255" i="9" s="1"/>
  <c r="I255" i="10"/>
  <c r="X45" i="9"/>
  <c r="Y45" i="9" s="1"/>
  <c r="I45" i="10"/>
  <c r="X19" i="9"/>
  <c r="Y19" i="9" s="1"/>
  <c r="I19" i="10"/>
  <c r="X204" i="9"/>
  <c r="Y204" i="9" s="1"/>
  <c r="I204" i="10"/>
  <c r="W162" i="9"/>
  <c r="R339" i="9"/>
  <c r="W21" i="9"/>
  <c r="R337" i="9"/>
  <c r="R340" i="9"/>
  <c r="W120" i="9"/>
  <c r="S338" i="9"/>
  <c r="S341" i="9"/>
  <c r="S336" i="9"/>
  <c r="S337" i="9"/>
  <c r="S339" i="9"/>
  <c r="S340" i="9"/>
  <c r="R338" i="9"/>
  <c r="W59" i="9"/>
  <c r="W50" i="9"/>
  <c r="W139" i="9"/>
  <c r="W121" i="9"/>
  <c r="W67" i="9"/>
  <c r="T337" i="9"/>
  <c r="T340" i="9"/>
  <c r="T338" i="9"/>
  <c r="T339" i="9"/>
  <c r="T336" i="9"/>
  <c r="F299" i="8"/>
  <c r="F89" i="8"/>
  <c r="G341" i="8"/>
  <c r="E341" i="8"/>
  <c r="F193" i="8"/>
  <c r="G340" i="8"/>
  <c r="F73" i="8"/>
  <c r="E340" i="8"/>
  <c r="F267" i="8"/>
  <c r="F177" i="8"/>
  <c r="D340" i="8"/>
  <c r="F119" i="8"/>
  <c r="F103" i="8"/>
  <c r="D341" i="8"/>
  <c r="N22" i="8"/>
  <c r="O22" i="8" s="1"/>
  <c r="F310" i="8"/>
  <c r="F266" i="8"/>
  <c r="F222" i="8"/>
  <c r="F116" i="8"/>
  <c r="C340" i="8"/>
  <c r="F220" i="8"/>
  <c r="C339" i="8"/>
  <c r="D339" i="8"/>
  <c r="H226" i="8"/>
  <c r="I226" i="8" s="1"/>
  <c r="J226" i="8" s="1"/>
  <c r="K226" i="8" s="1"/>
  <c r="H226" i="10" s="1"/>
  <c r="N338" i="8"/>
  <c r="F262" i="8"/>
  <c r="F52" i="8"/>
  <c r="G338" i="8"/>
  <c r="N15" i="8"/>
  <c r="E338" i="8"/>
  <c r="F292" i="8"/>
  <c r="F246" i="8"/>
  <c r="F232" i="8"/>
  <c r="F186" i="8"/>
  <c r="F81" i="8"/>
  <c r="D338" i="8"/>
  <c r="F140" i="8"/>
  <c r="F110" i="8"/>
  <c r="C338" i="8"/>
  <c r="F221" i="8"/>
  <c r="O13" i="8"/>
  <c r="F55" i="8"/>
  <c r="F332" i="8"/>
  <c r="F275" i="8"/>
  <c r="F154" i="8"/>
  <c r="G337" i="8"/>
  <c r="N30" i="8"/>
  <c r="O30" i="8" s="1"/>
  <c r="E337" i="8"/>
  <c r="N337" i="8"/>
  <c r="F78" i="8"/>
  <c r="D337" i="8"/>
  <c r="B336" i="8"/>
  <c r="C337" i="8"/>
  <c r="F107" i="8"/>
  <c r="F63" i="8"/>
  <c r="B337" i="8"/>
  <c r="E339" i="8"/>
  <c r="F40" i="8"/>
  <c r="F122" i="8"/>
  <c r="F92" i="8"/>
  <c r="B338" i="8"/>
  <c r="F76" i="8"/>
  <c r="F46" i="8"/>
  <c r="B339" i="8"/>
  <c r="F145" i="8"/>
  <c r="F331" i="8"/>
  <c r="F271" i="8"/>
  <c r="F166" i="8"/>
  <c r="B340" i="8"/>
  <c r="F314" i="8"/>
  <c r="F270" i="8"/>
  <c r="F261" i="8"/>
  <c r="F144" i="8"/>
  <c r="F217" i="8"/>
  <c r="F273" i="8"/>
  <c r="F329" i="8"/>
  <c r="F287" i="8"/>
  <c r="F171" i="8"/>
  <c r="F173" i="8"/>
  <c r="F15" i="8"/>
  <c r="F159" i="8"/>
  <c r="F129" i="8"/>
  <c r="F115" i="8"/>
  <c r="F71" i="8"/>
  <c r="F272" i="8"/>
  <c r="F230" i="8"/>
  <c r="F243" i="8"/>
  <c r="F200" i="8"/>
  <c r="F170" i="8"/>
  <c r="F26" i="8"/>
  <c r="F168" i="8"/>
  <c r="F268" i="8"/>
  <c r="F226" i="8"/>
  <c r="F23" i="8"/>
  <c r="F181" i="8"/>
  <c r="F213" i="8"/>
  <c r="F38" i="8"/>
  <c r="F211" i="8"/>
  <c r="F95" i="8"/>
  <c r="F282" i="8"/>
  <c r="F225" i="8"/>
  <c r="F137" i="8"/>
  <c r="F108" i="8"/>
  <c r="F66" i="8"/>
  <c r="F51" i="8"/>
  <c r="F22" i="8"/>
  <c r="H31" i="8"/>
  <c r="I31" i="8" s="1"/>
  <c r="F317" i="8"/>
  <c r="F295" i="8"/>
  <c r="F253" i="8"/>
  <c r="F79" i="8"/>
  <c r="F65" i="8"/>
  <c r="H83" i="8"/>
  <c r="I83" i="8" s="1"/>
  <c r="F237" i="8"/>
  <c r="F49" i="8"/>
  <c r="H82" i="8"/>
  <c r="I82" i="8" s="1"/>
  <c r="F121" i="8"/>
  <c r="F106" i="8"/>
  <c r="F77" i="8"/>
  <c r="H142" i="8"/>
  <c r="I142" i="8" s="1"/>
  <c r="F120" i="8"/>
  <c r="F105" i="8"/>
  <c r="H109" i="8"/>
  <c r="I109" i="8" s="1"/>
  <c r="F125" i="8"/>
  <c r="F264" i="8"/>
  <c r="F207" i="8"/>
  <c r="F134" i="8"/>
  <c r="F313" i="8"/>
  <c r="F184" i="8"/>
  <c r="F234" i="8"/>
  <c r="F191" i="8"/>
  <c r="F90" i="8"/>
  <c r="F160" i="8"/>
  <c r="F312" i="8"/>
  <c r="F326" i="8"/>
  <c r="F227" i="8"/>
  <c r="F147" i="8"/>
  <c r="F45" i="8"/>
  <c r="F32" i="8"/>
  <c r="H166" i="8"/>
  <c r="I166" i="8" s="1"/>
  <c r="F251" i="8"/>
  <c r="F276" i="8"/>
  <c r="F155" i="8"/>
  <c r="F39" i="8"/>
  <c r="F25" i="8"/>
  <c r="F111" i="8"/>
  <c r="F319" i="8"/>
  <c r="F233" i="8"/>
  <c r="F146" i="8"/>
  <c r="F117" i="8"/>
  <c r="H165" i="8"/>
  <c r="I165" i="8" s="1"/>
  <c r="F203" i="8"/>
  <c r="F257" i="8"/>
  <c r="F308" i="8"/>
  <c r="F318" i="8"/>
  <c r="F290" i="8"/>
  <c r="F247" i="8"/>
  <c r="F174" i="8"/>
  <c r="F161" i="8"/>
  <c r="F131" i="8"/>
  <c r="F102" i="8"/>
  <c r="H304" i="8"/>
  <c r="I304" i="8" s="1"/>
  <c r="H221" i="8"/>
  <c r="I221" i="8" s="1"/>
  <c r="H162" i="8"/>
  <c r="I162" i="8" s="1"/>
  <c r="H303" i="8"/>
  <c r="I303" i="8" s="1"/>
  <c r="H22" i="8"/>
  <c r="I22" i="8" s="1"/>
  <c r="H245" i="8"/>
  <c r="I245" i="8" s="1"/>
  <c r="H161" i="8"/>
  <c r="I161" i="8" s="1"/>
  <c r="H206" i="8"/>
  <c r="I206" i="8" s="1"/>
  <c r="H64" i="8"/>
  <c r="I64" i="8" s="1"/>
  <c r="H260" i="8"/>
  <c r="I260" i="8" s="1"/>
  <c r="H147" i="8"/>
  <c r="I147" i="8" s="1"/>
  <c r="H63" i="8"/>
  <c r="I63" i="8" s="1"/>
  <c r="H259" i="8"/>
  <c r="I259" i="8" s="1"/>
  <c r="H146" i="8"/>
  <c r="I146" i="8" s="1"/>
  <c r="H286" i="8"/>
  <c r="I286" i="8" s="1"/>
  <c r="H285" i="8"/>
  <c r="I285" i="8" s="1"/>
  <c r="H278" i="8"/>
  <c r="I278" i="8" s="1"/>
  <c r="H222" i="8"/>
  <c r="I222" i="8" s="1"/>
  <c r="H128" i="8"/>
  <c r="I128" i="8" s="1"/>
  <c r="H48" i="8"/>
  <c r="I48" i="8" s="1"/>
  <c r="H244" i="8"/>
  <c r="I244" i="8" s="1"/>
  <c r="H102" i="8"/>
  <c r="I102" i="8" s="1"/>
  <c r="H300" i="8"/>
  <c r="I300" i="8" s="1"/>
  <c r="H101" i="8"/>
  <c r="I101" i="8" s="1"/>
  <c r="H241" i="8"/>
  <c r="I241" i="8" s="1"/>
  <c r="H127" i="8"/>
  <c r="I127" i="8" s="1"/>
  <c r="H323" i="8"/>
  <c r="I323" i="8" s="1"/>
  <c r="H240" i="8"/>
  <c r="I240" i="8" s="1"/>
  <c r="H181" i="8"/>
  <c r="I181" i="8" s="1"/>
  <c r="H68" i="8"/>
  <c r="I68" i="8" s="1"/>
  <c r="H322" i="8"/>
  <c r="I322" i="8" s="1"/>
  <c r="H67" i="8"/>
  <c r="I67" i="8" s="1"/>
  <c r="H49" i="8"/>
  <c r="I49" i="8" s="1"/>
  <c r="H45" i="8"/>
  <c r="I45" i="8" s="1"/>
  <c r="H143" i="8"/>
  <c r="I143" i="8" s="1"/>
  <c r="H86" i="8"/>
  <c r="I86" i="8" s="1"/>
  <c r="H225" i="8"/>
  <c r="I225" i="8" s="1"/>
  <c r="H319" i="8"/>
  <c r="I319" i="8" s="1"/>
  <c r="H180" i="8"/>
  <c r="I180" i="8" s="1"/>
  <c r="H318" i="8"/>
  <c r="I318" i="8" s="1"/>
  <c r="H207" i="8"/>
  <c r="I207" i="8" s="1"/>
  <c r="H321" i="8"/>
  <c r="I321" i="8" s="1"/>
  <c r="H262" i="8"/>
  <c r="I262" i="8" s="1"/>
  <c r="H243" i="8"/>
  <c r="I243" i="8" s="1"/>
  <c r="H224" i="8"/>
  <c r="I224" i="8" s="1"/>
  <c r="H205" i="8"/>
  <c r="I205" i="8" s="1"/>
  <c r="H164" i="8"/>
  <c r="I164" i="8" s="1"/>
  <c r="H145" i="8"/>
  <c r="I145" i="8" s="1"/>
  <c r="H126" i="8"/>
  <c r="I126" i="8" s="1"/>
  <c r="H85" i="8"/>
  <c r="I85" i="8" s="1"/>
  <c r="H66" i="8"/>
  <c r="I66" i="8" s="1"/>
  <c r="H47" i="8"/>
  <c r="I47" i="8" s="1"/>
  <c r="H302" i="8"/>
  <c r="I302" i="8" s="1"/>
  <c r="H320" i="8"/>
  <c r="I320" i="8" s="1"/>
  <c r="H261" i="8"/>
  <c r="I261" i="8" s="1"/>
  <c r="H242" i="8"/>
  <c r="I242" i="8" s="1"/>
  <c r="H223" i="8"/>
  <c r="I223" i="8" s="1"/>
  <c r="H182" i="8"/>
  <c r="I182" i="8" s="1"/>
  <c r="H163" i="8"/>
  <c r="I163" i="8" s="1"/>
  <c r="H144" i="8"/>
  <c r="I144" i="8" s="1"/>
  <c r="H125" i="8"/>
  <c r="I125" i="8" s="1"/>
  <c r="H84" i="8"/>
  <c r="I84" i="8" s="1"/>
  <c r="H65" i="8"/>
  <c r="I65" i="8" s="1"/>
  <c r="H46" i="8"/>
  <c r="I46" i="8" s="1"/>
  <c r="H301" i="8"/>
  <c r="I301" i="8" s="1"/>
  <c r="H257" i="8"/>
  <c r="I257" i="8" s="1"/>
  <c r="H99" i="8"/>
  <c r="I99" i="8" s="1"/>
  <c r="H80" i="8"/>
  <c r="I80" i="8" s="1"/>
  <c r="H61" i="8"/>
  <c r="I61" i="8" s="1"/>
  <c r="H20" i="8"/>
  <c r="I20" i="8" s="1"/>
  <c r="H334" i="8"/>
  <c r="I334" i="8" s="1"/>
  <c r="H79" i="8"/>
  <c r="I79" i="8" s="1"/>
  <c r="H179" i="8"/>
  <c r="I179" i="8" s="1"/>
  <c r="H10" i="8"/>
  <c r="H294" i="8"/>
  <c r="I294" i="8" s="1"/>
  <c r="H275" i="8"/>
  <c r="I275" i="8" s="1"/>
  <c r="H237" i="8"/>
  <c r="I237" i="8" s="1"/>
  <c r="H98" i="8"/>
  <c r="I98" i="8" s="1"/>
  <c r="H38" i="8"/>
  <c r="I38" i="8" s="1"/>
  <c r="H19" i="8"/>
  <c r="I19" i="8" s="1"/>
  <c r="H333" i="8"/>
  <c r="I333" i="8" s="1"/>
  <c r="H293" i="8"/>
  <c r="I293" i="8" s="1"/>
  <c r="H274" i="8"/>
  <c r="I274" i="8" s="1"/>
  <c r="H255" i="8"/>
  <c r="I255" i="8" s="1"/>
  <c r="H214" i="8"/>
  <c r="I214" i="8" s="1"/>
  <c r="H195" i="8"/>
  <c r="I195" i="8" s="1"/>
  <c r="H176" i="8"/>
  <c r="I176" i="8" s="1"/>
  <c r="H157" i="8"/>
  <c r="I157" i="8" s="1"/>
  <c r="H116" i="8"/>
  <c r="I116" i="8" s="1"/>
  <c r="H97" i="8"/>
  <c r="I97" i="8" s="1"/>
  <c r="H78" i="8"/>
  <c r="I78" i="8" s="1"/>
  <c r="H37" i="8"/>
  <c r="I37" i="8" s="1"/>
  <c r="H18" i="8"/>
  <c r="I18" i="8" s="1"/>
  <c r="H276" i="8"/>
  <c r="I276" i="8" s="1"/>
  <c r="H332" i="8"/>
  <c r="I332" i="8" s="1"/>
  <c r="H194" i="8"/>
  <c r="I194" i="8" s="1"/>
  <c r="H160" i="8"/>
  <c r="I160" i="8" s="1"/>
  <c r="H316" i="8"/>
  <c r="I316" i="8" s="1"/>
  <c r="H273" i="8"/>
  <c r="I273" i="8" s="1"/>
  <c r="H254" i="8"/>
  <c r="I254" i="8" s="1"/>
  <c r="H213" i="8"/>
  <c r="I213" i="8" s="1"/>
  <c r="H175" i="8"/>
  <c r="I175" i="8" s="1"/>
  <c r="H134" i="8"/>
  <c r="I134" i="8" s="1"/>
  <c r="H115" i="8"/>
  <c r="I115" i="8" s="1"/>
  <c r="H96" i="8"/>
  <c r="I96" i="8" s="1"/>
  <c r="H77" i="8"/>
  <c r="I77" i="8" s="1"/>
  <c r="H36" i="8"/>
  <c r="I36" i="8" s="1"/>
  <c r="H17" i="8"/>
  <c r="I17" i="8" s="1"/>
  <c r="H310" i="8"/>
  <c r="I310" i="8" s="1"/>
  <c r="H141" i="8"/>
  <c r="I141" i="8" s="1"/>
  <c r="H256" i="8"/>
  <c r="I256" i="8" s="1"/>
  <c r="H16" i="8"/>
  <c r="I16" i="8" s="1"/>
  <c r="H309" i="8"/>
  <c r="I309" i="8" s="1"/>
  <c r="H118" i="8"/>
  <c r="I118" i="8" s="1"/>
  <c r="H239" i="8"/>
  <c r="I239" i="8" s="1"/>
  <c r="H198" i="8"/>
  <c r="I198" i="8" s="1"/>
  <c r="H159" i="8"/>
  <c r="I159" i="8" s="1"/>
  <c r="H158" i="8"/>
  <c r="I158" i="8" s="1"/>
  <c r="H253" i="8"/>
  <c r="I253" i="8" s="1"/>
  <c r="H95" i="8"/>
  <c r="I95" i="8" s="1"/>
  <c r="H271" i="8"/>
  <c r="I271" i="8" s="1"/>
  <c r="H94" i="8"/>
  <c r="I94" i="8" s="1"/>
  <c r="H308" i="8"/>
  <c r="I308" i="8" s="1"/>
  <c r="H326" i="8"/>
  <c r="I326" i="8" s="1"/>
  <c r="H289" i="8"/>
  <c r="I289" i="8" s="1"/>
  <c r="H270" i="8"/>
  <c r="I270" i="8" s="1"/>
  <c r="H229" i="8"/>
  <c r="I229" i="8" s="1"/>
  <c r="H210" i="8"/>
  <c r="I210" i="8" s="1"/>
  <c r="H191" i="8"/>
  <c r="I191" i="8" s="1"/>
  <c r="H150" i="8"/>
  <c r="I150" i="8" s="1"/>
  <c r="H131" i="8"/>
  <c r="I131" i="8" s="1"/>
  <c r="H112" i="8"/>
  <c r="I112" i="8" s="1"/>
  <c r="H93" i="8"/>
  <c r="I93" i="8" s="1"/>
  <c r="H52" i="8"/>
  <c r="I52" i="8" s="1"/>
  <c r="H33" i="8"/>
  <c r="I33" i="8" s="1"/>
  <c r="H14" i="8"/>
  <c r="I14" i="8" s="1"/>
  <c r="H133" i="8"/>
  <c r="I133" i="8" s="1"/>
  <c r="H307" i="8"/>
  <c r="I307" i="8" s="1"/>
  <c r="H258" i="8"/>
  <c r="I258" i="8" s="1"/>
  <c r="H81" i="8"/>
  <c r="I81" i="8" s="1"/>
  <c r="H238" i="8"/>
  <c r="I238" i="8" s="1"/>
  <c r="H196" i="8"/>
  <c r="I196" i="8" s="1"/>
  <c r="H291" i="8"/>
  <c r="I291" i="8" s="1"/>
  <c r="H174" i="8"/>
  <c r="I174" i="8" s="1"/>
  <c r="H54" i="8"/>
  <c r="I54" i="8" s="1"/>
  <c r="H230" i="8"/>
  <c r="I230" i="8" s="1"/>
  <c r="H132" i="8"/>
  <c r="I132" i="8" s="1"/>
  <c r="H53" i="8"/>
  <c r="I53" i="8" s="1"/>
  <c r="H325" i="8"/>
  <c r="I325" i="8" s="1"/>
  <c r="H288" i="8"/>
  <c r="I288" i="8" s="1"/>
  <c r="H269" i="8"/>
  <c r="I269" i="8" s="1"/>
  <c r="H228" i="8"/>
  <c r="I228" i="8" s="1"/>
  <c r="H209" i="8"/>
  <c r="I209" i="8" s="1"/>
  <c r="H190" i="8"/>
  <c r="I190" i="8" s="1"/>
  <c r="H149" i="8"/>
  <c r="I149" i="8" s="1"/>
  <c r="H130" i="8"/>
  <c r="I130" i="8" s="1"/>
  <c r="H111" i="8"/>
  <c r="I111" i="8" s="1"/>
  <c r="H70" i="8"/>
  <c r="I70" i="8" s="1"/>
  <c r="H51" i="8"/>
  <c r="I51" i="8" s="1"/>
  <c r="H32" i="8"/>
  <c r="I32" i="8" s="1"/>
  <c r="H13" i="8"/>
  <c r="I13" i="8" s="1"/>
  <c r="H317" i="8"/>
  <c r="I317" i="8" s="1"/>
  <c r="H21" i="8"/>
  <c r="I21" i="8" s="1"/>
  <c r="H178" i="8"/>
  <c r="I178" i="8" s="1"/>
  <c r="H177" i="8"/>
  <c r="I177" i="8" s="1"/>
  <c r="H193" i="8"/>
  <c r="I193" i="8" s="1"/>
  <c r="H35" i="8"/>
  <c r="I35" i="8" s="1"/>
  <c r="H173" i="8"/>
  <c r="I173" i="8" s="1"/>
  <c r="H113" i="8"/>
  <c r="I113" i="8" s="1"/>
  <c r="H306" i="8"/>
  <c r="I306" i="8" s="1"/>
  <c r="H277" i="8"/>
  <c r="I277" i="8" s="1"/>
  <c r="H62" i="8"/>
  <c r="I62" i="8" s="1"/>
  <c r="H197" i="8"/>
  <c r="I197" i="8" s="1"/>
  <c r="H117" i="8"/>
  <c r="I117" i="8" s="1"/>
  <c r="H212" i="8"/>
  <c r="I212" i="8" s="1"/>
  <c r="H290" i="8"/>
  <c r="I290" i="8" s="1"/>
  <c r="H211" i="8"/>
  <c r="I211" i="8" s="1"/>
  <c r="H34" i="8"/>
  <c r="I34" i="8" s="1"/>
  <c r="H324" i="8"/>
  <c r="I324" i="8" s="1"/>
  <c r="H287" i="8"/>
  <c r="I287" i="8" s="1"/>
  <c r="H246" i="8"/>
  <c r="I246" i="8" s="1"/>
  <c r="H227" i="8"/>
  <c r="I227" i="8" s="1"/>
  <c r="H208" i="8"/>
  <c r="I208" i="8" s="1"/>
  <c r="H189" i="8"/>
  <c r="I189" i="8" s="1"/>
  <c r="H148" i="8"/>
  <c r="I148" i="8" s="1"/>
  <c r="H129" i="8"/>
  <c r="I129" i="8" s="1"/>
  <c r="H110" i="8"/>
  <c r="I110" i="8" s="1"/>
  <c r="H69" i="8"/>
  <c r="I69" i="8" s="1"/>
  <c r="H50" i="8"/>
  <c r="I50" i="8" s="1"/>
  <c r="H11" i="8"/>
  <c r="I11" i="8" s="1"/>
  <c r="H27" i="8"/>
  <c r="I27" i="8" s="1"/>
  <c r="H43" i="8"/>
  <c r="I43" i="8" s="1"/>
  <c r="H59" i="8"/>
  <c r="I59" i="8" s="1"/>
  <c r="H75" i="8"/>
  <c r="I75" i="8" s="1"/>
  <c r="H91" i="8"/>
  <c r="I91" i="8" s="1"/>
  <c r="H107" i="8"/>
  <c r="I107" i="8" s="1"/>
  <c r="H123" i="8"/>
  <c r="I123" i="8" s="1"/>
  <c r="H139" i="8"/>
  <c r="I139" i="8" s="1"/>
  <c r="H155" i="8"/>
  <c r="I155" i="8" s="1"/>
  <c r="H171" i="8"/>
  <c r="I171" i="8" s="1"/>
  <c r="H187" i="8"/>
  <c r="I187" i="8" s="1"/>
  <c r="H203" i="8"/>
  <c r="I203" i="8" s="1"/>
  <c r="H219" i="8"/>
  <c r="I219" i="8" s="1"/>
  <c r="H235" i="8"/>
  <c r="I235" i="8" s="1"/>
  <c r="H251" i="8"/>
  <c r="I251" i="8" s="1"/>
  <c r="H267" i="8"/>
  <c r="I267" i="8" s="1"/>
  <c r="H283" i="8"/>
  <c r="I283" i="8" s="1"/>
  <c r="H299" i="8"/>
  <c r="I299" i="8" s="1"/>
  <c r="H315" i="8"/>
  <c r="I315" i="8" s="1"/>
  <c r="H331" i="8"/>
  <c r="I331" i="8" s="1"/>
  <c r="H28" i="8"/>
  <c r="I28" i="8" s="1"/>
  <c r="H220" i="8"/>
  <c r="I220" i="8" s="1"/>
  <c r="H12" i="8"/>
  <c r="I12" i="8" s="1"/>
  <c r="H60" i="8"/>
  <c r="I60" i="8" s="1"/>
  <c r="H76" i="8"/>
  <c r="I76" i="8" s="1"/>
  <c r="H92" i="8"/>
  <c r="I92" i="8" s="1"/>
  <c r="H108" i="8"/>
  <c r="I108" i="8" s="1"/>
  <c r="H124" i="8"/>
  <c r="I124" i="8" s="1"/>
  <c r="H140" i="8"/>
  <c r="I140" i="8" s="1"/>
  <c r="H172" i="8"/>
  <c r="I172" i="8" s="1"/>
  <c r="H188" i="8"/>
  <c r="I188" i="8" s="1"/>
  <c r="H236" i="8"/>
  <c r="I236" i="8" s="1"/>
  <c r="H268" i="8"/>
  <c r="I268" i="8" s="1"/>
  <c r="H23" i="8"/>
  <c r="I23" i="8" s="1"/>
  <c r="H39" i="8"/>
  <c r="I39" i="8" s="1"/>
  <c r="H55" i="8"/>
  <c r="I55" i="8" s="1"/>
  <c r="H71" i="8"/>
  <c r="I71" i="8" s="1"/>
  <c r="H87" i="8"/>
  <c r="I87" i="8" s="1"/>
  <c r="H103" i="8"/>
  <c r="I103" i="8" s="1"/>
  <c r="H119" i="8"/>
  <c r="I119" i="8" s="1"/>
  <c r="H135" i="8"/>
  <c r="I135" i="8" s="1"/>
  <c r="H151" i="8"/>
  <c r="I151" i="8" s="1"/>
  <c r="H167" i="8"/>
  <c r="I167" i="8" s="1"/>
  <c r="H183" i="8"/>
  <c r="I183" i="8" s="1"/>
  <c r="H199" i="8"/>
  <c r="I199" i="8" s="1"/>
  <c r="H215" i="8"/>
  <c r="I215" i="8" s="1"/>
  <c r="H231" i="8"/>
  <c r="I231" i="8" s="1"/>
  <c r="H247" i="8"/>
  <c r="I247" i="8" s="1"/>
  <c r="H263" i="8"/>
  <c r="I263" i="8" s="1"/>
  <c r="H279" i="8"/>
  <c r="I279" i="8" s="1"/>
  <c r="H295" i="8"/>
  <c r="I295" i="8" s="1"/>
  <c r="H311" i="8"/>
  <c r="I311" i="8" s="1"/>
  <c r="H327" i="8"/>
  <c r="I327" i="8" s="1"/>
  <c r="H24" i="8"/>
  <c r="I24" i="8" s="1"/>
  <c r="H40" i="8"/>
  <c r="I40" i="8" s="1"/>
  <c r="H56" i="8"/>
  <c r="I56" i="8" s="1"/>
  <c r="H72" i="8"/>
  <c r="I72" i="8" s="1"/>
  <c r="H88" i="8"/>
  <c r="I88" i="8" s="1"/>
  <c r="H104" i="8"/>
  <c r="I104" i="8" s="1"/>
  <c r="H120" i="8"/>
  <c r="I120" i="8" s="1"/>
  <c r="H136" i="8"/>
  <c r="I136" i="8" s="1"/>
  <c r="H152" i="8"/>
  <c r="I152" i="8" s="1"/>
  <c r="H168" i="8"/>
  <c r="I168" i="8" s="1"/>
  <c r="H184" i="8"/>
  <c r="I184" i="8" s="1"/>
  <c r="H200" i="8"/>
  <c r="I200" i="8" s="1"/>
  <c r="H216" i="8"/>
  <c r="I216" i="8" s="1"/>
  <c r="H232" i="8"/>
  <c r="I232" i="8" s="1"/>
  <c r="H248" i="8"/>
  <c r="I248" i="8" s="1"/>
  <c r="H264" i="8"/>
  <c r="I264" i="8" s="1"/>
  <c r="H280" i="8"/>
  <c r="I280" i="8" s="1"/>
  <c r="H296" i="8"/>
  <c r="I296" i="8" s="1"/>
  <c r="H312" i="8"/>
  <c r="I312" i="8" s="1"/>
  <c r="H328" i="8"/>
  <c r="I328" i="8" s="1"/>
  <c r="H25" i="8"/>
  <c r="I25" i="8" s="1"/>
  <c r="H41" i="8"/>
  <c r="I41" i="8" s="1"/>
  <c r="H57" i="8"/>
  <c r="I57" i="8" s="1"/>
  <c r="H73" i="8"/>
  <c r="I73" i="8" s="1"/>
  <c r="H89" i="8"/>
  <c r="I89" i="8" s="1"/>
  <c r="H105" i="8"/>
  <c r="I105" i="8" s="1"/>
  <c r="H121" i="8"/>
  <c r="I121" i="8" s="1"/>
  <c r="H137" i="8"/>
  <c r="I137" i="8" s="1"/>
  <c r="H153" i="8"/>
  <c r="I153" i="8" s="1"/>
  <c r="H169" i="8"/>
  <c r="I169" i="8" s="1"/>
  <c r="H185" i="8"/>
  <c r="I185" i="8" s="1"/>
  <c r="H201" i="8"/>
  <c r="I201" i="8" s="1"/>
  <c r="H217" i="8"/>
  <c r="I217" i="8" s="1"/>
  <c r="H233" i="8"/>
  <c r="I233" i="8" s="1"/>
  <c r="H249" i="8"/>
  <c r="I249" i="8" s="1"/>
  <c r="H265" i="8"/>
  <c r="I265" i="8" s="1"/>
  <c r="H281" i="8"/>
  <c r="I281" i="8" s="1"/>
  <c r="H297" i="8"/>
  <c r="I297" i="8" s="1"/>
  <c r="H313" i="8"/>
  <c r="I313" i="8" s="1"/>
  <c r="H329" i="8"/>
  <c r="I329" i="8" s="1"/>
  <c r="H26" i="8"/>
  <c r="I26" i="8" s="1"/>
  <c r="H42" i="8"/>
  <c r="I42" i="8" s="1"/>
  <c r="H58" i="8"/>
  <c r="I58" i="8" s="1"/>
  <c r="H74" i="8"/>
  <c r="I74" i="8" s="1"/>
  <c r="H90" i="8"/>
  <c r="I90" i="8" s="1"/>
  <c r="H106" i="8"/>
  <c r="I106" i="8" s="1"/>
  <c r="H122" i="8"/>
  <c r="I122" i="8" s="1"/>
  <c r="H138" i="8"/>
  <c r="I138" i="8" s="1"/>
  <c r="H154" i="8"/>
  <c r="I154" i="8" s="1"/>
  <c r="H170" i="8"/>
  <c r="I170" i="8" s="1"/>
  <c r="H186" i="8"/>
  <c r="I186" i="8" s="1"/>
  <c r="H202" i="8"/>
  <c r="I202" i="8" s="1"/>
  <c r="H218" i="8"/>
  <c r="I218" i="8" s="1"/>
  <c r="H234" i="8"/>
  <c r="I234" i="8" s="1"/>
  <c r="H250" i="8"/>
  <c r="I250" i="8" s="1"/>
  <c r="H266" i="8"/>
  <c r="I266" i="8" s="1"/>
  <c r="H282" i="8"/>
  <c r="I282" i="8" s="1"/>
  <c r="H298" i="8"/>
  <c r="I298" i="8" s="1"/>
  <c r="H314" i="8"/>
  <c r="I314" i="8" s="1"/>
  <c r="H330" i="8"/>
  <c r="I330" i="8" s="1"/>
  <c r="H44" i="8"/>
  <c r="I44" i="8" s="1"/>
  <c r="H156" i="8"/>
  <c r="I156" i="8" s="1"/>
  <c r="H204" i="8"/>
  <c r="I204" i="8" s="1"/>
  <c r="H252" i="8"/>
  <c r="I252" i="8" s="1"/>
  <c r="H284" i="8"/>
  <c r="I284" i="8" s="1"/>
  <c r="H100" i="8"/>
  <c r="I100" i="8" s="1"/>
  <c r="H292" i="8"/>
  <c r="I292" i="8" s="1"/>
  <c r="H272" i="8"/>
  <c r="I272" i="8" s="1"/>
  <c r="H114" i="8"/>
  <c r="I114" i="8" s="1"/>
  <c r="H192" i="8"/>
  <c r="I192" i="8" s="1"/>
  <c r="H15" i="8"/>
  <c r="I15" i="8" s="1"/>
  <c r="H305" i="8"/>
  <c r="I305" i="8" s="1"/>
  <c r="F260" i="8"/>
  <c r="F74" i="8"/>
  <c r="F311" i="8"/>
  <c r="F194" i="8"/>
  <c r="F114" i="8"/>
  <c r="F88" i="8"/>
  <c r="F48" i="8"/>
  <c r="F21" i="8"/>
  <c r="F87" i="8"/>
  <c r="F47" i="8"/>
  <c r="F324" i="8"/>
  <c r="F219" i="8"/>
  <c r="F309" i="8"/>
  <c r="F258" i="8"/>
  <c r="F152" i="8"/>
  <c r="F138" i="8"/>
  <c r="F86" i="8"/>
  <c r="F283" i="8"/>
  <c r="F269" i="8"/>
  <c r="F192" i="8"/>
  <c r="F178" i="8"/>
  <c r="F112" i="8"/>
  <c r="F128" i="8"/>
  <c r="F285" i="8"/>
  <c r="F245" i="8"/>
  <c r="F61" i="8"/>
  <c r="F153" i="8"/>
  <c r="F34" i="8"/>
  <c r="F205" i="8"/>
  <c r="F100" i="8"/>
  <c r="F334" i="8"/>
  <c r="F85" i="8"/>
  <c r="F59" i="8"/>
  <c r="F98" i="8"/>
  <c r="F293" i="8"/>
  <c r="F279" i="8"/>
  <c r="F228" i="8"/>
  <c r="F214" i="8"/>
  <c r="F162" i="8"/>
  <c r="F96" i="8"/>
  <c r="F56" i="8"/>
  <c r="F16" i="8"/>
  <c r="F278" i="8"/>
  <c r="F240" i="8"/>
  <c r="F82" i="8"/>
  <c r="F29" i="8"/>
  <c r="F68" i="8"/>
  <c r="F123" i="8"/>
  <c r="F304" i="8"/>
  <c r="F277" i="8"/>
  <c r="F187" i="8"/>
  <c r="F172" i="8"/>
  <c r="F94" i="8"/>
  <c r="F54" i="8"/>
  <c r="F216" i="8"/>
  <c r="F175" i="8"/>
  <c r="F303" i="8"/>
  <c r="F80" i="8"/>
  <c r="F53" i="8"/>
  <c r="F27" i="8"/>
  <c r="F13" i="8"/>
  <c r="F202" i="8"/>
  <c r="F215" i="8"/>
  <c r="F185" i="8"/>
  <c r="F132" i="8"/>
  <c r="F57" i="8"/>
  <c r="F158" i="8"/>
  <c r="F118" i="8"/>
  <c r="F224" i="8"/>
  <c r="F210" i="8"/>
  <c r="F164" i="8"/>
  <c r="F280" i="8"/>
  <c r="F42" i="8"/>
  <c r="F189" i="8"/>
  <c r="F301" i="8"/>
  <c r="F288" i="8"/>
  <c r="F274" i="8"/>
  <c r="F249" i="8"/>
  <c r="F183" i="8"/>
  <c r="F157" i="8"/>
  <c r="F143" i="8"/>
  <c r="F91" i="8"/>
  <c r="F322" i="8"/>
  <c r="F150" i="8"/>
  <c r="F18" i="8"/>
  <c r="F333" i="8"/>
  <c r="F242" i="8"/>
  <c r="F176" i="8"/>
  <c r="F320" i="8"/>
  <c r="F130" i="8"/>
  <c r="F64" i="8"/>
  <c r="F24" i="8"/>
  <c r="F281" i="8"/>
  <c r="F306" i="8"/>
  <c r="F248" i="8"/>
  <c r="F196" i="8"/>
  <c r="F182" i="8"/>
  <c r="F50" i="8"/>
  <c r="F256" i="8"/>
  <c r="F315" i="8"/>
  <c r="F208" i="8"/>
  <c r="F141" i="8"/>
  <c r="F75" i="8"/>
  <c r="F149" i="8"/>
  <c r="F286" i="8"/>
  <c r="I62" i="10" l="1"/>
  <c r="X62" i="9"/>
  <c r="Y62" i="9" s="1"/>
  <c r="X33" i="9"/>
  <c r="Y33" i="9" s="1"/>
  <c r="I33" i="10"/>
  <c r="I160" i="10"/>
  <c r="X160" i="9"/>
  <c r="Y160" i="9" s="1"/>
  <c r="X295" i="9"/>
  <c r="Y295" i="9" s="1"/>
  <c r="I295" i="10"/>
  <c r="I308" i="10"/>
  <c r="X308" i="9"/>
  <c r="Y308" i="9" s="1"/>
  <c r="X71" i="9"/>
  <c r="Y71" i="9" s="1"/>
  <c r="I318" i="10"/>
  <c r="X244" i="9"/>
  <c r="Y244" i="9" s="1"/>
  <c r="X281" i="9"/>
  <c r="Y281" i="9" s="1"/>
  <c r="I281" i="10"/>
  <c r="I238" i="10"/>
  <c r="X238" i="9"/>
  <c r="Y238" i="9" s="1"/>
  <c r="I288" i="10"/>
  <c r="X288" i="9"/>
  <c r="Y288" i="9" s="1"/>
  <c r="X23" i="9"/>
  <c r="Y23" i="9" s="1"/>
  <c r="X149" i="9"/>
  <c r="Y149" i="9" s="1"/>
  <c r="V341" i="9"/>
  <c r="X32" i="9"/>
  <c r="Y32" i="9" s="1"/>
  <c r="V336" i="9"/>
  <c r="J30" i="8"/>
  <c r="K30" i="8" s="1"/>
  <c r="I60" i="10"/>
  <c r="X60" i="9"/>
  <c r="Y60" i="9" s="1"/>
  <c r="X120" i="9"/>
  <c r="Y120" i="9" s="1"/>
  <c r="I120" i="10"/>
  <c r="I279" i="10"/>
  <c r="X279" i="9"/>
  <c r="Y279" i="9" s="1"/>
  <c r="I64" i="10"/>
  <c r="X64" i="9"/>
  <c r="Y64" i="9" s="1"/>
  <c r="I39" i="10"/>
  <c r="X39" i="9"/>
  <c r="Y39" i="9" s="1"/>
  <c r="I159" i="10"/>
  <c r="X159" i="9"/>
  <c r="Y159" i="9" s="1"/>
  <c r="I63" i="10"/>
  <c r="X63" i="9"/>
  <c r="Y63" i="9" s="1"/>
  <c r="I320" i="10"/>
  <c r="X320" i="9"/>
  <c r="Y320" i="9" s="1"/>
  <c r="I131" i="10"/>
  <c r="X131" i="9"/>
  <c r="Y131" i="9" s="1"/>
  <c r="I315" i="10"/>
  <c r="X315" i="9"/>
  <c r="Y315" i="9" s="1"/>
  <c r="I191" i="10"/>
  <c r="X191" i="9"/>
  <c r="Y191" i="9" s="1"/>
  <c r="I254" i="10"/>
  <c r="X254" i="9"/>
  <c r="Y254" i="9" s="1"/>
  <c r="I332" i="10"/>
  <c r="X332" i="9"/>
  <c r="Y332" i="9" s="1"/>
  <c r="I223" i="10"/>
  <c r="X223" i="9"/>
  <c r="Y223" i="9" s="1"/>
  <c r="I135" i="10"/>
  <c r="X135" i="9"/>
  <c r="Y135" i="9" s="1"/>
  <c r="I66" i="10"/>
  <c r="X66" i="9"/>
  <c r="Y66" i="9" s="1"/>
  <c r="I253" i="10"/>
  <c r="X253" i="9"/>
  <c r="Y253" i="9" s="1"/>
  <c r="I286" i="10"/>
  <c r="X286" i="9"/>
  <c r="Y286" i="9" s="1"/>
  <c r="I85" i="10"/>
  <c r="X85" i="9"/>
  <c r="Y85" i="9" s="1"/>
  <c r="I291" i="10"/>
  <c r="X291" i="9"/>
  <c r="Y291" i="9" s="1"/>
  <c r="I76" i="10"/>
  <c r="X76" i="9"/>
  <c r="Y76" i="9" s="1"/>
  <c r="I162" i="10"/>
  <c r="X162" i="9"/>
  <c r="Y162" i="9" s="1"/>
  <c r="X67" i="9"/>
  <c r="Y67" i="9" s="1"/>
  <c r="I67" i="10"/>
  <c r="K226" i="10"/>
  <c r="L226" i="10" s="1"/>
  <c r="M226" i="10" s="1"/>
  <c r="L29" i="8"/>
  <c r="M29" i="8" s="1"/>
  <c r="H29" i="10"/>
  <c r="K29" i="10" s="1"/>
  <c r="L29" i="10" s="1"/>
  <c r="M29" i="10" s="1"/>
  <c r="X121" i="9"/>
  <c r="Y121" i="9" s="1"/>
  <c r="I121" i="10"/>
  <c r="I12" i="10"/>
  <c r="X12" i="9"/>
  <c r="Y12" i="9" s="1"/>
  <c r="I28" i="10"/>
  <c r="X28" i="9"/>
  <c r="Y28" i="9" s="1"/>
  <c r="I334" i="10"/>
  <c r="X334" i="9"/>
  <c r="Y334" i="9" s="1"/>
  <c r="I325" i="10"/>
  <c r="X325" i="9"/>
  <c r="Y325" i="9" s="1"/>
  <c r="X139" i="9"/>
  <c r="Y139" i="9" s="1"/>
  <c r="I139" i="10"/>
  <c r="I113" i="10"/>
  <c r="X113" i="9"/>
  <c r="Y113" i="9" s="1"/>
  <c r="I11" i="10"/>
  <c r="X11" i="9"/>
  <c r="Y11" i="9" s="1"/>
  <c r="X50" i="9"/>
  <c r="Y50" i="9" s="1"/>
  <c r="I50" i="10"/>
  <c r="I126" i="10"/>
  <c r="X126" i="9"/>
  <c r="Y126" i="9" s="1"/>
  <c r="I78" i="10"/>
  <c r="X78" i="9"/>
  <c r="Y78" i="9" s="1"/>
  <c r="I267" i="10"/>
  <c r="X267" i="9"/>
  <c r="Y267" i="9" s="1"/>
  <c r="I294" i="10"/>
  <c r="X294" i="9"/>
  <c r="Y294" i="9" s="1"/>
  <c r="I143" i="10"/>
  <c r="X143" i="9"/>
  <c r="Y143" i="9" s="1"/>
  <c r="I208" i="10"/>
  <c r="X208" i="9"/>
  <c r="Y208" i="9" s="1"/>
  <c r="I132" i="10"/>
  <c r="X132" i="9"/>
  <c r="Y132" i="9" s="1"/>
  <c r="X21" i="9"/>
  <c r="Y21" i="9" s="1"/>
  <c r="I21" i="10"/>
  <c r="X59" i="9"/>
  <c r="Y59" i="9" s="1"/>
  <c r="I59" i="10"/>
  <c r="I205" i="10"/>
  <c r="X205" i="9"/>
  <c r="Y205" i="9" s="1"/>
  <c r="I134" i="10"/>
  <c r="X134" i="9"/>
  <c r="Y134" i="9" s="1"/>
  <c r="I225" i="10"/>
  <c r="X225" i="9"/>
  <c r="Y225" i="9" s="1"/>
  <c r="I217" i="10"/>
  <c r="X217" i="9"/>
  <c r="Y217" i="9" s="1"/>
  <c r="I262" i="10"/>
  <c r="X262" i="9"/>
  <c r="Y262" i="9" s="1"/>
  <c r="I68" i="10"/>
  <c r="X68" i="9"/>
  <c r="Y68" i="9" s="1"/>
  <c r="I222" i="10"/>
  <c r="X222" i="9"/>
  <c r="Y222" i="9" s="1"/>
  <c r="I127" i="10"/>
  <c r="X127" i="9"/>
  <c r="Y127" i="9" s="1"/>
  <c r="V340" i="9"/>
  <c r="V338" i="9"/>
  <c r="V339" i="9"/>
  <c r="V337" i="9"/>
  <c r="W37" i="9"/>
  <c r="W341" i="9" s="1"/>
  <c r="W340" i="9"/>
  <c r="W337" i="9"/>
  <c r="F338" i="8"/>
  <c r="L226" i="8"/>
  <c r="M226" i="8" s="1"/>
  <c r="O337" i="8"/>
  <c r="F339" i="8"/>
  <c r="O15" i="8"/>
  <c r="O339" i="8" s="1"/>
  <c r="N341" i="8"/>
  <c r="N339" i="8"/>
  <c r="N336" i="8"/>
  <c r="J121" i="8"/>
  <c r="K121" i="8" s="1"/>
  <c r="J292" i="8"/>
  <c r="K292" i="8" s="1"/>
  <c r="J56" i="8"/>
  <c r="K56" i="8"/>
  <c r="J227" i="8"/>
  <c r="K227" i="8" s="1"/>
  <c r="J158" i="8"/>
  <c r="K158" i="8" s="1"/>
  <c r="J320" i="8"/>
  <c r="K320" i="8" s="1"/>
  <c r="J165" i="8"/>
  <c r="K165" i="8" s="1"/>
  <c r="J233" i="8"/>
  <c r="K233" i="8" s="1"/>
  <c r="J12" i="8"/>
  <c r="K12" i="8" s="1"/>
  <c r="J325" i="8"/>
  <c r="K325" i="8" s="1"/>
  <c r="J214" i="8"/>
  <c r="K214" i="8" s="1"/>
  <c r="J302" i="8"/>
  <c r="K302" i="8" s="1"/>
  <c r="J217" i="8"/>
  <c r="K217" i="8" s="1"/>
  <c r="J220" i="8"/>
  <c r="K220" i="8" s="1"/>
  <c r="J53" i="8"/>
  <c r="K53" i="8"/>
  <c r="J255" i="8"/>
  <c r="K255" i="8" s="1"/>
  <c r="J47" i="8"/>
  <c r="K47" i="8" s="1"/>
  <c r="J201" i="8"/>
  <c r="K201" i="8"/>
  <c r="J324" i="8"/>
  <c r="K324" i="8" s="1"/>
  <c r="J239" i="8"/>
  <c r="K239" i="8" s="1"/>
  <c r="J66" i="8"/>
  <c r="K66" i="8" s="1"/>
  <c r="J82" i="8"/>
  <c r="K82" i="8" s="1"/>
  <c r="J185" i="8"/>
  <c r="K185" i="8"/>
  <c r="J331" i="8"/>
  <c r="K331" i="8" s="1"/>
  <c r="J230" i="8"/>
  <c r="K230" i="8" s="1"/>
  <c r="J156" i="8"/>
  <c r="K156" i="8" s="1"/>
  <c r="J295" i="8"/>
  <c r="K295" i="8"/>
  <c r="J211" i="8"/>
  <c r="K211" i="8" s="1"/>
  <c r="J309" i="8"/>
  <c r="K309" i="8" s="1"/>
  <c r="J126" i="8"/>
  <c r="K126" i="8" s="1"/>
  <c r="J44" i="8"/>
  <c r="K44" i="8" s="1"/>
  <c r="J153" i="8"/>
  <c r="K153" i="8" s="1"/>
  <c r="J279" i="8"/>
  <c r="K279" i="8" s="1"/>
  <c r="J299" i="8"/>
  <c r="K299" i="8" s="1"/>
  <c r="J290" i="8"/>
  <c r="K290" i="8" s="1"/>
  <c r="J174" i="8"/>
  <c r="K174" i="8" s="1"/>
  <c r="J16" i="8"/>
  <c r="K16" i="8" s="1"/>
  <c r="J19" i="8"/>
  <c r="K19" i="8" s="1"/>
  <c r="J145" i="8"/>
  <c r="K145" i="8"/>
  <c r="J285" i="8"/>
  <c r="K285" i="8" s="1"/>
  <c r="J83" i="8"/>
  <c r="K83" i="8" s="1"/>
  <c r="J247" i="8"/>
  <c r="K247" i="8" s="1"/>
  <c r="J249" i="8"/>
  <c r="K249" i="8"/>
  <c r="J60" i="8"/>
  <c r="K60" i="8" s="1"/>
  <c r="J288" i="8"/>
  <c r="K288" i="8" s="1"/>
  <c r="J195" i="8"/>
  <c r="K195" i="8" s="1"/>
  <c r="J102" i="8"/>
  <c r="K102" i="8" s="1"/>
  <c r="J100" i="8"/>
  <c r="K100" i="8"/>
  <c r="J40" i="8"/>
  <c r="K40" i="8" s="1"/>
  <c r="J246" i="8"/>
  <c r="K246" i="8" s="1"/>
  <c r="J159" i="8"/>
  <c r="K159" i="8" s="1"/>
  <c r="J244" i="8"/>
  <c r="K244" i="8" s="1"/>
  <c r="J284" i="8"/>
  <c r="K284" i="8" s="1"/>
  <c r="J24" i="8"/>
  <c r="K24" i="8" s="1"/>
  <c r="J287" i="8"/>
  <c r="K287" i="8" s="1"/>
  <c r="J198" i="8"/>
  <c r="K198" i="8" s="1"/>
  <c r="J48" i="8"/>
  <c r="K48" i="8" s="1"/>
  <c r="J252" i="8"/>
  <c r="K252" i="8" s="1"/>
  <c r="J327" i="8"/>
  <c r="K327" i="8"/>
  <c r="J28" i="8"/>
  <c r="K28" i="8" s="1"/>
  <c r="J132" i="8"/>
  <c r="K132" i="8" s="1"/>
  <c r="J274" i="8"/>
  <c r="K274" i="8" s="1"/>
  <c r="J128" i="8"/>
  <c r="K128" i="8" s="1"/>
  <c r="J204" i="8"/>
  <c r="K204" i="8" s="1"/>
  <c r="J311" i="8"/>
  <c r="K311" i="8"/>
  <c r="J34" i="8"/>
  <c r="K34" i="8" s="1"/>
  <c r="J118" i="8"/>
  <c r="K118" i="8" s="1"/>
  <c r="J293" i="8"/>
  <c r="K293" i="8" s="1"/>
  <c r="J85" i="8"/>
  <c r="K85" i="8" s="1"/>
  <c r="J222" i="8"/>
  <c r="K222" i="8" s="1"/>
  <c r="J169" i="8"/>
  <c r="K169" i="8" s="1"/>
  <c r="J315" i="8"/>
  <c r="K315" i="8" s="1"/>
  <c r="J54" i="8"/>
  <c r="K54" i="8" s="1"/>
  <c r="J333" i="8"/>
  <c r="K333" i="8" s="1"/>
  <c r="J278" i="8"/>
  <c r="K278" i="8" s="1"/>
  <c r="J330" i="8"/>
  <c r="K330" i="8" s="1"/>
  <c r="J137" i="8"/>
  <c r="K137" i="8" s="1"/>
  <c r="J263" i="8"/>
  <c r="K263" i="8"/>
  <c r="J283" i="8"/>
  <c r="K283" i="8" s="1"/>
  <c r="J212" i="8"/>
  <c r="K212" i="8" s="1"/>
  <c r="J291" i="8"/>
  <c r="K291" i="8" s="1"/>
  <c r="J256" i="8"/>
  <c r="K256" i="8" s="1"/>
  <c r="J38" i="8"/>
  <c r="K38" i="8"/>
  <c r="J164" i="8"/>
  <c r="K164" i="8" s="1"/>
  <c r="J286" i="8"/>
  <c r="K286" i="8" s="1"/>
  <c r="J117" i="8"/>
  <c r="K117" i="8" s="1"/>
  <c r="J98" i="8"/>
  <c r="K98" i="8"/>
  <c r="J205" i="8"/>
  <c r="K205" i="8" s="1"/>
  <c r="J146" i="8"/>
  <c r="K146" i="8" s="1"/>
  <c r="J237" i="8"/>
  <c r="K237" i="8"/>
  <c r="J314" i="8"/>
  <c r="K314" i="8" s="1"/>
  <c r="J141" i="8"/>
  <c r="K141" i="8" s="1"/>
  <c r="J105" i="8"/>
  <c r="K105" i="8" s="1"/>
  <c r="J231" i="8"/>
  <c r="K231" i="8" s="1"/>
  <c r="J251" i="8"/>
  <c r="K251" i="8"/>
  <c r="J197" i="8"/>
  <c r="K197" i="8" s="1"/>
  <c r="J238" i="8"/>
  <c r="K238" i="8" s="1"/>
  <c r="J310" i="8"/>
  <c r="K310" i="8" s="1"/>
  <c r="J224" i="8"/>
  <c r="K224" i="8"/>
  <c r="J259" i="8"/>
  <c r="K259" i="8" s="1"/>
  <c r="J282" i="8"/>
  <c r="K282" i="8" s="1"/>
  <c r="J89" i="8"/>
  <c r="K89" i="8" s="1"/>
  <c r="J235" i="8"/>
  <c r="K235" i="8" s="1"/>
  <c r="J62" i="8"/>
  <c r="K62" i="8" s="1"/>
  <c r="J81" i="8"/>
  <c r="K81" i="8" s="1"/>
  <c r="J17" i="8"/>
  <c r="K17" i="8" s="1"/>
  <c r="J275" i="8"/>
  <c r="K275" i="8" s="1"/>
  <c r="J243" i="8"/>
  <c r="K243" i="8" s="1"/>
  <c r="J63" i="8"/>
  <c r="K63" i="8" s="1"/>
  <c r="J266" i="8"/>
  <c r="K266" i="8" s="1"/>
  <c r="J73" i="8"/>
  <c r="K73" i="8"/>
  <c r="J199" i="8"/>
  <c r="K199" i="8" s="1"/>
  <c r="J219" i="8"/>
  <c r="K219" i="8"/>
  <c r="J277" i="8"/>
  <c r="K277" i="8" s="1"/>
  <c r="J258" i="8"/>
  <c r="K258" i="8" s="1"/>
  <c r="J36" i="8"/>
  <c r="K36" i="8" s="1"/>
  <c r="J294" i="8"/>
  <c r="K294" i="8" s="1"/>
  <c r="J262" i="8"/>
  <c r="K262" i="8" s="1"/>
  <c r="J147" i="8"/>
  <c r="K147" i="8" s="1"/>
  <c r="J166" i="8"/>
  <c r="K166" i="8" s="1"/>
  <c r="J250" i="8"/>
  <c r="K250" i="8" s="1"/>
  <c r="J57" i="8"/>
  <c r="K57" i="8" s="1"/>
  <c r="J183" i="8"/>
  <c r="K183" i="8" s="1"/>
  <c r="J203" i="8"/>
  <c r="K203" i="8" s="1"/>
  <c r="J306" i="8"/>
  <c r="K306" i="8" s="1"/>
  <c r="J307" i="8"/>
  <c r="K307" i="8" s="1"/>
  <c r="J77" i="8"/>
  <c r="K77" i="8" s="1"/>
  <c r="H339" i="8"/>
  <c r="H338" i="8"/>
  <c r="I10" i="8"/>
  <c r="H336" i="8"/>
  <c r="H340" i="8"/>
  <c r="H337" i="8"/>
  <c r="J321" i="8"/>
  <c r="K321" i="8"/>
  <c r="J260" i="8"/>
  <c r="K260" i="8" s="1"/>
  <c r="J31" i="8"/>
  <c r="K31" i="8" s="1"/>
  <c r="J234" i="8"/>
  <c r="K234" i="8" s="1"/>
  <c r="J41" i="8"/>
  <c r="K41" i="8" s="1"/>
  <c r="J167" i="8"/>
  <c r="K167" i="8"/>
  <c r="J187" i="8"/>
  <c r="K187" i="8" s="1"/>
  <c r="J113" i="8"/>
  <c r="K113" i="8" s="1"/>
  <c r="J133" i="8"/>
  <c r="K133" i="8" s="1"/>
  <c r="J96" i="8"/>
  <c r="K96" i="8" s="1"/>
  <c r="J179" i="8"/>
  <c r="K179" i="8" s="1"/>
  <c r="J207" i="8"/>
  <c r="K207" i="8" s="1"/>
  <c r="J64" i="8"/>
  <c r="K64" i="8" s="1"/>
  <c r="J218" i="8"/>
  <c r="K218" i="8" s="1"/>
  <c r="J25" i="8"/>
  <c r="K25" i="8" s="1"/>
  <c r="J151" i="8"/>
  <c r="K151" i="8" s="1"/>
  <c r="J171" i="8"/>
  <c r="K171" i="8" s="1"/>
  <c r="J173" i="8"/>
  <c r="K173" i="8" s="1"/>
  <c r="J14" i="8"/>
  <c r="K14" i="8" s="1"/>
  <c r="J115" i="8"/>
  <c r="K115" i="8" s="1"/>
  <c r="J79" i="8"/>
  <c r="K79" i="8" s="1"/>
  <c r="J318" i="8"/>
  <c r="K318" i="8" s="1"/>
  <c r="J206" i="8"/>
  <c r="K206" i="8" s="1"/>
  <c r="J298" i="8"/>
  <c r="K298" i="8" s="1"/>
  <c r="J215" i="8"/>
  <c r="K215" i="8"/>
  <c r="J202" i="8"/>
  <c r="K202" i="8" s="1"/>
  <c r="J328" i="8"/>
  <c r="K328" i="8" s="1"/>
  <c r="J135" i="8"/>
  <c r="K135" i="8" s="1"/>
  <c r="J155" i="8"/>
  <c r="K155" i="8"/>
  <c r="J35" i="8"/>
  <c r="K35" i="8" s="1"/>
  <c r="J33" i="8"/>
  <c r="K33" i="8" s="1"/>
  <c r="J134" i="8"/>
  <c r="K134" i="8" s="1"/>
  <c r="J334" i="8"/>
  <c r="K334" i="8"/>
  <c r="J180" i="8"/>
  <c r="K180" i="8" s="1"/>
  <c r="J161" i="8"/>
  <c r="K161" i="8" s="1"/>
  <c r="J245" i="8"/>
  <c r="K245" i="8" s="1"/>
  <c r="J170" i="8"/>
  <c r="K170" i="8" s="1"/>
  <c r="J296" i="8"/>
  <c r="K296" i="8" s="1"/>
  <c r="J103" i="8"/>
  <c r="K103" i="8" s="1"/>
  <c r="J123" i="8"/>
  <c r="K123" i="8" s="1"/>
  <c r="J177" i="8"/>
  <c r="K177" i="8" s="1"/>
  <c r="J93" i="8"/>
  <c r="K93" i="8" s="1"/>
  <c r="J213" i="8"/>
  <c r="K213" i="8" s="1"/>
  <c r="J61" i="8"/>
  <c r="K61" i="8" s="1"/>
  <c r="J225" i="8"/>
  <c r="K225" i="8" s="1"/>
  <c r="J22" i="8"/>
  <c r="K22" i="8" s="1"/>
  <c r="J186" i="8"/>
  <c r="K186" i="8"/>
  <c r="J119" i="8"/>
  <c r="K119" i="8"/>
  <c r="J154" i="8"/>
  <c r="K154" i="8" s="1"/>
  <c r="J280" i="8"/>
  <c r="K280" i="8"/>
  <c r="J87" i="8"/>
  <c r="K87" i="8" s="1"/>
  <c r="J107" i="8"/>
  <c r="K107" i="8" s="1"/>
  <c r="J178" i="8"/>
  <c r="K178" i="8" s="1"/>
  <c r="J112" i="8"/>
  <c r="K112" i="8" s="1"/>
  <c r="J254" i="8"/>
  <c r="K254" i="8" s="1"/>
  <c r="J80" i="8"/>
  <c r="K80" i="8" s="1"/>
  <c r="J86" i="8"/>
  <c r="K86" i="8" s="1"/>
  <c r="J303" i="8"/>
  <c r="K303" i="8" s="1"/>
  <c r="J138" i="8"/>
  <c r="K138" i="8"/>
  <c r="J264" i="8"/>
  <c r="K264" i="8" s="1"/>
  <c r="J71" i="8"/>
  <c r="K71" i="8" s="1"/>
  <c r="J91" i="8"/>
  <c r="K91" i="8"/>
  <c r="J21" i="8"/>
  <c r="K21" i="8" s="1"/>
  <c r="J131" i="8"/>
  <c r="K131" i="8" s="1"/>
  <c r="J273" i="8"/>
  <c r="K273" i="8" s="1"/>
  <c r="J99" i="8"/>
  <c r="K99" i="8" s="1"/>
  <c r="J143" i="8"/>
  <c r="K143" i="8" s="1"/>
  <c r="J162" i="8"/>
  <c r="K162" i="8" s="1"/>
  <c r="J316" i="8"/>
  <c r="K316" i="8" s="1"/>
  <c r="J45" i="8"/>
  <c r="K45" i="8" s="1"/>
  <c r="J221" i="8"/>
  <c r="K221" i="8" s="1"/>
  <c r="J196" i="8"/>
  <c r="K196" i="8" s="1"/>
  <c r="J150" i="8"/>
  <c r="K150" i="8" s="1"/>
  <c r="J106" i="8"/>
  <c r="K106" i="8" s="1"/>
  <c r="J232" i="8"/>
  <c r="K232" i="8" s="1"/>
  <c r="J39" i="8"/>
  <c r="K39" i="8" s="1"/>
  <c r="J59" i="8"/>
  <c r="K59" i="8" s="1"/>
  <c r="J13" i="8"/>
  <c r="K13" i="8" s="1"/>
  <c r="J191" i="8"/>
  <c r="K191" i="8"/>
  <c r="J160" i="8"/>
  <c r="K160" i="8" s="1"/>
  <c r="J301" i="8"/>
  <c r="K301" i="8" s="1"/>
  <c r="J49" i="8"/>
  <c r="K49" i="8"/>
  <c r="J304" i="8"/>
  <c r="K304" i="8" s="1"/>
  <c r="J257" i="8"/>
  <c r="K257" i="8" s="1"/>
  <c r="J90" i="8"/>
  <c r="K90" i="8" s="1"/>
  <c r="J216" i="8"/>
  <c r="K216" i="8" s="1"/>
  <c r="J23" i="8"/>
  <c r="K23" i="8" s="1"/>
  <c r="J43" i="8"/>
  <c r="K43" i="8" s="1"/>
  <c r="J32" i="8"/>
  <c r="K32" i="8"/>
  <c r="J210" i="8"/>
  <c r="K210" i="8" s="1"/>
  <c r="J194" i="8"/>
  <c r="K194" i="8"/>
  <c r="J46" i="8"/>
  <c r="K46" i="8" s="1"/>
  <c r="J67" i="8"/>
  <c r="K67" i="8" s="1"/>
  <c r="J319" i="8"/>
  <c r="K319" i="8" s="1"/>
  <c r="J74" i="8"/>
  <c r="K74" i="8" s="1"/>
  <c r="J200" i="8"/>
  <c r="K200" i="8" s="1"/>
  <c r="J268" i="8"/>
  <c r="K268" i="8" s="1"/>
  <c r="J27" i="8"/>
  <c r="K27" i="8" s="1"/>
  <c r="J51" i="8"/>
  <c r="K51" i="8" s="1"/>
  <c r="J229" i="8"/>
  <c r="K229" i="8" s="1"/>
  <c r="J332" i="8"/>
  <c r="K332" i="8" s="1"/>
  <c r="J65" i="8"/>
  <c r="K65" i="8" s="1"/>
  <c r="J322" i="8"/>
  <c r="K322" i="8" s="1"/>
  <c r="J58" i="8"/>
  <c r="K58" i="8" s="1"/>
  <c r="J184" i="8"/>
  <c r="K184" i="8" s="1"/>
  <c r="J236" i="8"/>
  <c r="K236" i="8" s="1"/>
  <c r="J11" i="8"/>
  <c r="K11" i="8" s="1"/>
  <c r="J70" i="8"/>
  <c r="K70" i="8"/>
  <c r="J270" i="8"/>
  <c r="K270" i="8" s="1"/>
  <c r="J276" i="8"/>
  <c r="K276" i="8"/>
  <c r="J84" i="8"/>
  <c r="K84" i="8" s="1"/>
  <c r="J68" i="8"/>
  <c r="K68" i="8" s="1"/>
  <c r="J111" i="8"/>
  <c r="K111" i="8" s="1"/>
  <c r="J139" i="8"/>
  <c r="K139" i="8"/>
  <c r="J317" i="8"/>
  <c r="K317" i="8" s="1"/>
  <c r="J18" i="8"/>
  <c r="K18" i="8" s="1"/>
  <c r="J26" i="8"/>
  <c r="K26" i="8" s="1"/>
  <c r="J152" i="8"/>
  <c r="K152" i="8" s="1"/>
  <c r="J172" i="8"/>
  <c r="K172" i="8" s="1"/>
  <c r="J69" i="8"/>
  <c r="K69" i="8" s="1"/>
  <c r="J130" i="8"/>
  <c r="K130" i="8"/>
  <c r="J326" i="8"/>
  <c r="K326" i="8" s="1"/>
  <c r="J37" i="8"/>
  <c r="K37" i="8"/>
  <c r="J144" i="8"/>
  <c r="K144" i="8" s="1"/>
  <c r="J240" i="8"/>
  <c r="K240" i="8" s="1"/>
  <c r="F337" i="8"/>
  <c r="J175" i="8"/>
  <c r="K175" i="8" s="1"/>
  <c r="J55" i="8"/>
  <c r="K55" i="8" s="1"/>
  <c r="J42" i="8"/>
  <c r="K42" i="8" s="1"/>
  <c r="J188" i="8"/>
  <c r="K188" i="8" s="1"/>
  <c r="J305" i="8"/>
  <c r="K305" i="8" s="1"/>
  <c r="J329" i="8"/>
  <c r="K329" i="8" s="1"/>
  <c r="J136" i="8"/>
  <c r="K136" i="8" s="1"/>
  <c r="J140" i="8"/>
  <c r="K140" i="8" s="1"/>
  <c r="J110" i="8"/>
  <c r="K110" i="8"/>
  <c r="J149" i="8"/>
  <c r="K149" i="8" s="1"/>
  <c r="J308" i="8"/>
  <c r="K308" i="8"/>
  <c r="J78" i="8"/>
  <c r="K78" i="8" s="1"/>
  <c r="J163" i="8"/>
  <c r="K163" i="8" s="1"/>
  <c r="J323" i="8"/>
  <c r="K323" i="8"/>
  <c r="F341" i="8"/>
  <c r="J20" i="8"/>
  <c r="K20" i="8" s="1"/>
  <c r="J248" i="8"/>
  <c r="K248" i="8"/>
  <c r="J125" i="8"/>
  <c r="K125" i="8" s="1"/>
  <c r="J15" i="8"/>
  <c r="K15" i="8" s="1"/>
  <c r="J313" i="8"/>
  <c r="K313" i="8" s="1"/>
  <c r="J120" i="8"/>
  <c r="K120" i="8" s="1"/>
  <c r="J124" i="8"/>
  <c r="K124" i="8" s="1"/>
  <c r="J129" i="8"/>
  <c r="K129" i="8" s="1"/>
  <c r="J94" i="8"/>
  <c r="K94" i="8" s="1"/>
  <c r="J97" i="8"/>
  <c r="K97" i="8"/>
  <c r="J182" i="8"/>
  <c r="K182" i="8" s="1"/>
  <c r="J127" i="8"/>
  <c r="K127" i="8" s="1"/>
  <c r="J109" i="8"/>
  <c r="K109" i="8" s="1"/>
  <c r="F340" i="8"/>
  <c r="J52" i="8"/>
  <c r="K52" i="8"/>
  <c r="J75" i="8"/>
  <c r="K75" i="8"/>
  <c r="J168" i="8"/>
  <c r="K168" i="8" s="1"/>
  <c r="J192" i="8"/>
  <c r="K192" i="8" s="1"/>
  <c r="J116" i="8"/>
  <c r="K116" i="8"/>
  <c r="J312" i="8"/>
  <c r="K312" i="8"/>
  <c r="J122" i="8"/>
  <c r="K122" i="8"/>
  <c r="J267" i="8"/>
  <c r="K267" i="8"/>
  <c r="J193" i="8"/>
  <c r="K193" i="8" s="1"/>
  <c r="J50" i="8"/>
  <c r="K50" i="8" s="1"/>
  <c r="J289" i="8"/>
  <c r="K289" i="8" s="1"/>
  <c r="J181" i="8"/>
  <c r="K181" i="8" s="1"/>
  <c r="J190" i="8"/>
  <c r="K190" i="8" s="1"/>
  <c r="J297" i="8"/>
  <c r="K297" i="8"/>
  <c r="J104" i="8"/>
  <c r="K104" i="8" s="1"/>
  <c r="J108" i="8"/>
  <c r="K108" i="8" s="1"/>
  <c r="J148" i="8"/>
  <c r="K148" i="8" s="1"/>
  <c r="J209" i="8"/>
  <c r="K209" i="8"/>
  <c r="J271" i="8"/>
  <c r="K271" i="8" s="1"/>
  <c r="J223" i="8"/>
  <c r="K223" i="8" s="1"/>
  <c r="J241" i="8"/>
  <c r="K241" i="8" s="1"/>
  <c r="J114" i="8"/>
  <c r="K114" i="8" s="1"/>
  <c r="J281" i="8"/>
  <c r="K281" i="8"/>
  <c r="J88" i="8"/>
  <c r="K88" i="8" s="1"/>
  <c r="J92" i="8"/>
  <c r="K92" i="8" s="1"/>
  <c r="J189" i="8"/>
  <c r="K189" i="8" s="1"/>
  <c r="J228" i="8"/>
  <c r="K228" i="8" s="1"/>
  <c r="J95" i="8"/>
  <c r="K95" i="8" s="1"/>
  <c r="J157" i="8"/>
  <c r="K157" i="8" s="1"/>
  <c r="J242" i="8"/>
  <c r="K242" i="8" s="1"/>
  <c r="J101" i="8"/>
  <c r="K101" i="8"/>
  <c r="F336" i="8"/>
  <c r="J272" i="8"/>
  <c r="K272" i="8" s="1"/>
  <c r="J265" i="8"/>
  <c r="K265" i="8" s="1"/>
  <c r="J72" i="8"/>
  <c r="K72" i="8" s="1"/>
  <c r="J76" i="8"/>
  <c r="K76" i="8" s="1"/>
  <c r="J208" i="8"/>
  <c r="K208" i="8" s="1"/>
  <c r="J269" i="8"/>
  <c r="K269" i="8"/>
  <c r="J253" i="8"/>
  <c r="K253" i="8" s="1"/>
  <c r="J176" i="8"/>
  <c r="K176" i="8" s="1"/>
  <c r="J261" i="8"/>
  <c r="K261" i="8" s="1"/>
  <c r="J300" i="8"/>
  <c r="K300" i="8" s="1"/>
  <c r="J142" i="8"/>
  <c r="K142" i="8" s="1"/>
  <c r="W339" i="9" l="1"/>
  <c r="W336" i="9"/>
  <c r="W338" i="9"/>
  <c r="L211" i="8"/>
  <c r="M211" i="8" s="1"/>
  <c r="H211" i="10"/>
  <c r="K211" i="10" s="1"/>
  <c r="L211" i="10" s="1"/>
  <c r="M211" i="10" s="1"/>
  <c r="L333" i="8"/>
  <c r="M333" i="8" s="1"/>
  <c r="H333" i="10"/>
  <c r="K333" i="10" s="1"/>
  <c r="L333" i="10" s="1"/>
  <c r="M333" i="10" s="1"/>
  <c r="L288" i="8"/>
  <c r="M288" i="8" s="1"/>
  <c r="H288" i="10"/>
  <c r="K288" i="10" s="1"/>
  <c r="L288" i="10" s="1"/>
  <c r="M288" i="10" s="1"/>
  <c r="L124" i="8"/>
  <c r="M124" i="8" s="1"/>
  <c r="H124" i="10"/>
  <c r="K124" i="10" s="1"/>
  <c r="L124" i="10" s="1"/>
  <c r="M124" i="10" s="1"/>
  <c r="L54" i="8"/>
  <c r="M54" i="8" s="1"/>
  <c r="H54" i="10"/>
  <c r="K54" i="10" s="1"/>
  <c r="L54" i="10" s="1"/>
  <c r="M54" i="10" s="1"/>
  <c r="L71" i="8"/>
  <c r="M71" i="8" s="1"/>
  <c r="H71" i="10"/>
  <c r="K71" i="10" s="1"/>
  <c r="L71" i="10" s="1"/>
  <c r="M71" i="10" s="1"/>
  <c r="L19" i="8"/>
  <c r="M19" i="8" s="1"/>
  <c r="H19" i="10"/>
  <c r="K19" i="10" s="1"/>
  <c r="L19" i="10" s="1"/>
  <c r="M19" i="10" s="1"/>
  <c r="L270" i="8"/>
  <c r="M270" i="8" s="1"/>
  <c r="H270" i="10"/>
  <c r="K270" i="10" s="1"/>
  <c r="L270" i="10" s="1"/>
  <c r="M270" i="10" s="1"/>
  <c r="L109" i="8"/>
  <c r="M109" i="8" s="1"/>
  <c r="H109" i="10"/>
  <c r="K109" i="10" s="1"/>
  <c r="L109" i="10" s="1"/>
  <c r="M109" i="10" s="1"/>
  <c r="L12" i="8"/>
  <c r="M12" i="8" s="1"/>
  <c r="H12" i="10"/>
  <c r="K12" i="10" s="1"/>
  <c r="L12" i="10" s="1"/>
  <c r="M12" i="10" s="1"/>
  <c r="L235" i="8"/>
  <c r="M235" i="8" s="1"/>
  <c r="H235" i="10"/>
  <c r="K235" i="10" s="1"/>
  <c r="L235" i="10" s="1"/>
  <c r="M235" i="10" s="1"/>
  <c r="L282" i="8"/>
  <c r="M282" i="8" s="1"/>
  <c r="H282" i="10"/>
  <c r="K282" i="10" s="1"/>
  <c r="L282" i="10" s="1"/>
  <c r="M282" i="10" s="1"/>
  <c r="L50" i="8"/>
  <c r="M50" i="8" s="1"/>
  <c r="H50" i="10"/>
  <c r="K50" i="10" s="1"/>
  <c r="L50" i="10" s="1"/>
  <c r="M50" i="10" s="1"/>
  <c r="L43" i="8"/>
  <c r="M43" i="8" s="1"/>
  <c r="H43" i="10"/>
  <c r="K43" i="10" s="1"/>
  <c r="L43" i="10" s="1"/>
  <c r="M43" i="10" s="1"/>
  <c r="L243" i="8"/>
  <c r="M243" i="8" s="1"/>
  <c r="H243" i="10"/>
  <c r="K243" i="10" s="1"/>
  <c r="L243" i="10" s="1"/>
  <c r="M243" i="10" s="1"/>
  <c r="L153" i="8"/>
  <c r="M153" i="8" s="1"/>
  <c r="H153" i="10"/>
  <c r="K153" i="10" s="1"/>
  <c r="L153" i="10" s="1"/>
  <c r="M153" i="10" s="1"/>
  <c r="L246" i="8"/>
  <c r="M246" i="8" s="1"/>
  <c r="H246" i="10"/>
  <c r="K246" i="10" s="1"/>
  <c r="L246" i="10" s="1"/>
  <c r="M246" i="10" s="1"/>
  <c r="L257" i="8"/>
  <c r="M257" i="8" s="1"/>
  <c r="H257" i="10"/>
  <c r="K257" i="10" s="1"/>
  <c r="L257" i="10" s="1"/>
  <c r="M257" i="10" s="1"/>
  <c r="L146" i="8"/>
  <c r="M146" i="8" s="1"/>
  <c r="H146" i="10"/>
  <c r="K146" i="10" s="1"/>
  <c r="L146" i="10" s="1"/>
  <c r="M146" i="10" s="1"/>
  <c r="L218" i="8"/>
  <c r="M218" i="8" s="1"/>
  <c r="H218" i="10"/>
  <c r="K218" i="10" s="1"/>
  <c r="L218" i="10" s="1"/>
  <c r="M218" i="10" s="1"/>
  <c r="L272" i="8"/>
  <c r="M272" i="8" s="1"/>
  <c r="H272" i="10"/>
  <c r="K272" i="10" s="1"/>
  <c r="L272" i="10" s="1"/>
  <c r="M272" i="10" s="1"/>
  <c r="L229" i="8"/>
  <c r="M229" i="8" s="1"/>
  <c r="H229" i="10"/>
  <c r="K229" i="10" s="1"/>
  <c r="L229" i="10" s="1"/>
  <c r="M229" i="10" s="1"/>
  <c r="L210" i="8"/>
  <c r="M210" i="8" s="1"/>
  <c r="H210" i="10"/>
  <c r="K210" i="10" s="1"/>
  <c r="L210" i="10" s="1"/>
  <c r="M210" i="10" s="1"/>
  <c r="L113" i="8"/>
  <c r="M113" i="8" s="1"/>
  <c r="H113" i="10"/>
  <c r="K113" i="10" s="1"/>
  <c r="L113" i="10" s="1"/>
  <c r="M113" i="10" s="1"/>
  <c r="L94" i="8"/>
  <c r="M94" i="8" s="1"/>
  <c r="H94" i="10"/>
  <c r="K94" i="10" s="1"/>
  <c r="L94" i="10" s="1"/>
  <c r="M94" i="10" s="1"/>
  <c r="L191" i="8"/>
  <c r="M191" i="8" s="1"/>
  <c r="H191" i="10"/>
  <c r="K191" i="10" s="1"/>
  <c r="L191" i="10" s="1"/>
  <c r="M191" i="10" s="1"/>
  <c r="L108" i="8"/>
  <c r="M108" i="8" s="1"/>
  <c r="H108" i="10"/>
  <c r="K108" i="10" s="1"/>
  <c r="L108" i="10" s="1"/>
  <c r="M108" i="10" s="1"/>
  <c r="L47" i="8"/>
  <c r="M47" i="8" s="1"/>
  <c r="H47" i="10"/>
  <c r="K47" i="10" s="1"/>
  <c r="L47" i="10" s="1"/>
  <c r="M47" i="10" s="1"/>
  <c r="L190" i="8"/>
  <c r="M190" i="8" s="1"/>
  <c r="H190" i="10"/>
  <c r="K190" i="10" s="1"/>
  <c r="L190" i="10" s="1"/>
  <c r="M190" i="10" s="1"/>
  <c r="L130" i="8"/>
  <c r="M130" i="8" s="1"/>
  <c r="H130" i="10"/>
  <c r="K130" i="10" s="1"/>
  <c r="L130" i="10" s="1"/>
  <c r="M130" i="10" s="1"/>
  <c r="L105" i="8"/>
  <c r="M105" i="8" s="1"/>
  <c r="H105" i="10"/>
  <c r="K105" i="10" s="1"/>
  <c r="L105" i="10" s="1"/>
  <c r="M105" i="10" s="1"/>
  <c r="L160" i="8"/>
  <c r="M160" i="8" s="1"/>
  <c r="H160" i="10"/>
  <c r="K160" i="10" s="1"/>
  <c r="L160" i="10" s="1"/>
  <c r="M160" i="10" s="1"/>
  <c r="L239" i="8"/>
  <c r="M239" i="8" s="1"/>
  <c r="H239" i="10"/>
  <c r="K239" i="10" s="1"/>
  <c r="L239" i="10" s="1"/>
  <c r="M239" i="10" s="1"/>
  <c r="L176" i="8"/>
  <c r="M176" i="8" s="1"/>
  <c r="H176" i="10"/>
  <c r="K176" i="10" s="1"/>
  <c r="L176" i="10" s="1"/>
  <c r="M176" i="10" s="1"/>
  <c r="L311" i="8"/>
  <c r="M311" i="8" s="1"/>
  <c r="H311" i="10"/>
  <c r="K311" i="10" s="1"/>
  <c r="L311" i="10" s="1"/>
  <c r="M311" i="10" s="1"/>
  <c r="L17" i="8"/>
  <c r="M17" i="8" s="1"/>
  <c r="H17" i="10"/>
  <c r="K17" i="10" s="1"/>
  <c r="L17" i="10" s="1"/>
  <c r="M17" i="10" s="1"/>
  <c r="L303" i="8"/>
  <c r="M303" i="8" s="1"/>
  <c r="H303" i="10"/>
  <c r="K303" i="10" s="1"/>
  <c r="L303" i="10" s="1"/>
  <c r="M303" i="10" s="1"/>
  <c r="L142" i="8"/>
  <c r="M142" i="8" s="1"/>
  <c r="H142" i="10"/>
  <c r="K142" i="10" s="1"/>
  <c r="L142" i="10" s="1"/>
  <c r="M142" i="10" s="1"/>
  <c r="L66" i="8"/>
  <c r="M66" i="8" s="1"/>
  <c r="H66" i="10"/>
  <c r="K66" i="10" s="1"/>
  <c r="L66" i="10" s="1"/>
  <c r="M66" i="10" s="1"/>
  <c r="L175" i="8"/>
  <c r="M175" i="8" s="1"/>
  <c r="H175" i="10"/>
  <c r="K175" i="10" s="1"/>
  <c r="L175" i="10" s="1"/>
  <c r="M175" i="10" s="1"/>
  <c r="L83" i="8"/>
  <c r="M83" i="8" s="1"/>
  <c r="H83" i="10"/>
  <c r="K83" i="10" s="1"/>
  <c r="L83" i="10" s="1"/>
  <c r="M83" i="10" s="1"/>
  <c r="L253" i="8"/>
  <c r="M253" i="8" s="1"/>
  <c r="H253" i="10"/>
  <c r="K253" i="10" s="1"/>
  <c r="L253" i="10" s="1"/>
  <c r="M253" i="10" s="1"/>
  <c r="L232" i="8"/>
  <c r="M232" i="8" s="1"/>
  <c r="H232" i="10"/>
  <c r="K232" i="10" s="1"/>
  <c r="L232" i="10" s="1"/>
  <c r="M232" i="10" s="1"/>
  <c r="L193" i="8"/>
  <c r="M193" i="8" s="1"/>
  <c r="H193" i="10"/>
  <c r="K193" i="10" s="1"/>
  <c r="L193" i="10" s="1"/>
  <c r="M193" i="10" s="1"/>
  <c r="L41" i="8"/>
  <c r="M41" i="8" s="1"/>
  <c r="H41" i="10"/>
  <c r="K41" i="10" s="1"/>
  <c r="L41" i="10" s="1"/>
  <c r="M41" i="10" s="1"/>
  <c r="L129" i="8"/>
  <c r="M129" i="8" s="1"/>
  <c r="H129" i="10"/>
  <c r="K129" i="10" s="1"/>
  <c r="L129" i="10" s="1"/>
  <c r="M129" i="10" s="1"/>
  <c r="L98" i="8"/>
  <c r="M98" i="8" s="1"/>
  <c r="H98" i="10"/>
  <c r="K98" i="10" s="1"/>
  <c r="L98" i="10" s="1"/>
  <c r="M98" i="10" s="1"/>
  <c r="L206" i="8"/>
  <c r="M206" i="8" s="1"/>
  <c r="H206" i="10"/>
  <c r="K206" i="10" s="1"/>
  <c r="L206" i="10" s="1"/>
  <c r="M206" i="10" s="1"/>
  <c r="L148" i="8"/>
  <c r="M148" i="8" s="1"/>
  <c r="H148" i="10"/>
  <c r="K148" i="10" s="1"/>
  <c r="L148" i="10" s="1"/>
  <c r="M148" i="10" s="1"/>
  <c r="L247" i="8"/>
  <c r="M247" i="8" s="1"/>
  <c r="H247" i="10"/>
  <c r="K247" i="10" s="1"/>
  <c r="L247" i="10" s="1"/>
  <c r="M247" i="10" s="1"/>
  <c r="L199" i="8"/>
  <c r="M199" i="8" s="1"/>
  <c r="H199" i="10"/>
  <c r="K199" i="10" s="1"/>
  <c r="L199" i="10" s="1"/>
  <c r="M199" i="10" s="1"/>
  <c r="L76" i="8"/>
  <c r="M76" i="8" s="1"/>
  <c r="H76" i="10"/>
  <c r="K76" i="10" s="1"/>
  <c r="L76" i="10" s="1"/>
  <c r="M76" i="10" s="1"/>
  <c r="L187" i="8"/>
  <c r="M187" i="8" s="1"/>
  <c r="H187" i="10"/>
  <c r="K187" i="10" s="1"/>
  <c r="L187" i="10" s="1"/>
  <c r="M187" i="10" s="1"/>
  <c r="L82" i="8"/>
  <c r="M82" i="8" s="1"/>
  <c r="H82" i="10"/>
  <c r="K82" i="10" s="1"/>
  <c r="L82" i="10" s="1"/>
  <c r="M82" i="10" s="1"/>
  <c r="L259" i="8"/>
  <c r="M259" i="8" s="1"/>
  <c r="H259" i="10"/>
  <c r="K259" i="10" s="1"/>
  <c r="L259" i="10" s="1"/>
  <c r="M259" i="10" s="1"/>
  <c r="L331" i="8"/>
  <c r="M331" i="8" s="1"/>
  <c r="H331" i="10"/>
  <c r="K331" i="10" s="1"/>
  <c r="L331" i="10" s="1"/>
  <c r="M331" i="10" s="1"/>
  <c r="L184" i="8"/>
  <c r="M184" i="8" s="1"/>
  <c r="H184" i="10"/>
  <c r="K184" i="10" s="1"/>
  <c r="L184" i="10" s="1"/>
  <c r="M184" i="10" s="1"/>
  <c r="L39" i="8"/>
  <c r="M39" i="8" s="1"/>
  <c r="H39" i="10"/>
  <c r="K39" i="10" s="1"/>
  <c r="L39" i="10" s="1"/>
  <c r="M39" i="10" s="1"/>
  <c r="L274" i="8"/>
  <c r="M274" i="8" s="1"/>
  <c r="H274" i="10"/>
  <c r="K274" i="10" s="1"/>
  <c r="L274" i="10" s="1"/>
  <c r="M274" i="10" s="1"/>
  <c r="L289" i="8"/>
  <c r="M289" i="8" s="1"/>
  <c r="H289" i="10"/>
  <c r="K289" i="10" s="1"/>
  <c r="L289" i="10" s="1"/>
  <c r="M289" i="10" s="1"/>
  <c r="L46" i="8"/>
  <c r="M46" i="8" s="1"/>
  <c r="H46" i="10"/>
  <c r="K46" i="10" s="1"/>
  <c r="L46" i="10" s="1"/>
  <c r="M46" i="10" s="1"/>
  <c r="L185" i="8"/>
  <c r="M185" i="8" s="1"/>
  <c r="H185" i="10"/>
  <c r="K185" i="10" s="1"/>
  <c r="L185" i="10" s="1"/>
  <c r="M185" i="10" s="1"/>
  <c r="L182" i="8"/>
  <c r="M182" i="8" s="1"/>
  <c r="H182" i="10"/>
  <c r="K182" i="10" s="1"/>
  <c r="L182" i="10" s="1"/>
  <c r="M182" i="10" s="1"/>
  <c r="L167" i="8"/>
  <c r="M167" i="8" s="1"/>
  <c r="H167" i="10"/>
  <c r="K167" i="10" s="1"/>
  <c r="L167" i="10" s="1"/>
  <c r="M167" i="10" s="1"/>
  <c r="L314" i="8"/>
  <c r="M314" i="8" s="1"/>
  <c r="H314" i="10"/>
  <c r="K314" i="10" s="1"/>
  <c r="L314" i="10" s="1"/>
  <c r="M314" i="10" s="1"/>
  <c r="L112" i="8"/>
  <c r="M112" i="8" s="1"/>
  <c r="H112" i="10"/>
  <c r="K112" i="10" s="1"/>
  <c r="L112" i="10" s="1"/>
  <c r="M112" i="10" s="1"/>
  <c r="L178" i="8"/>
  <c r="M178" i="8" s="1"/>
  <c r="H178" i="10"/>
  <c r="K178" i="10" s="1"/>
  <c r="L178" i="10" s="1"/>
  <c r="M178" i="10" s="1"/>
  <c r="L269" i="8"/>
  <c r="M269" i="8" s="1"/>
  <c r="H269" i="10"/>
  <c r="K269" i="10" s="1"/>
  <c r="L269" i="10" s="1"/>
  <c r="M269" i="10" s="1"/>
  <c r="L205" i="8"/>
  <c r="M205" i="8" s="1"/>
  <c r="H205" i="10"/>
  <c r="K205" i="10" s="1"/>
  <c r="L205" i="10" s="1"/>
  <c r="M205" i="10" s="1"/>
  <c r="L154" i="8"/>
  <c r="M154" i="8" s="1"/>
  <c r="H154" i="10"/>
  <c r="K154" i="10" s="1"/>
  <c r="L154" i="10" s="1"/>
  <c r="M154" i="10" s="1"/>
  <c r="L125" i="8"/>
  <c r="M125" i="8" s="1"/>
  <c r="H125" i="10"/>
  <c r="K125" i="10" s="1"/>
  <c r="L125" i="10" s="1"/>
  <c r="M125" i="10" s="1"/>
  <c r="L28" i="8"/>
  <c r="M28" i="8" s="1"/>
  <c r="H28" i="10"/>
  <c r="K28" i="10" s="1"/>
  <c r="L28" i="10" s="1"/>
  <c r="M28" i="10" s="1"/>
  <c r="L69" i="8"/>
  <c r="M69" i="8" s="1"/>
  <c r="H69" i="10"/>
  <c r="K69" i="10" s="1"/>
  <c r="L69" i="10" s="1"/>
  <c r="M69" i="10" s="1"/>
  <c r="L327" i="8"/>
  <c r="M327" i="8" s="1"/>
  <c r="H327" i="10"/>
  <c r="K327" i="10" s="1"/>
  <c r="L327" i="10" s="1"/>
  <c r="M327" i="10" s="1"/>
  <c r="L172" i="8"/>
  <c r="M172" i="8" s="1"/>
  <c r="H172" i="10"/>
  <c r="K172" i="10" s="1"/>
  <c r="L172" i="10" s="1"/>
  <c r="M172" i="10" s="1"/>
  <c r="L38" i="8"/>
  <c r="M38" i="8" s="1"/>
  <c r="H38" i="10"/>
  <c r="K38" i="10" s="1"/>
  <c r="L38" i="10" s="1"/>
  <c r="M38" i="10" s="1"/>
  <c r="L14" i="8"/>
  <c r="M14" i="8" s="1"/>
  <c r="H14" i="10"/>
  <c r="K14" i="10" s="1"/>
  <c r="L14" i="10" s="1"/>
  <c r="M14" i="10" s="1"/>
  <c r="L61" i="8"/>
  <c r="M61" i="8" s="1"/>
  <c r="H61" i="10"/>
  <c r="K61" i="10" s="1"/>
  <c r="L61" i="10" s="1"/>
  <c r="M61" i="10" s="1"/>
  <c r="L198" i="8"/>
  <c r="M198" i="8" s="1"/>
  <c r="H198" i="10"/>
  <c r="K198" i="10" s="1"/>
  <c r="L198" i="10" s="1"/>
  <c r="M198" i="10" s="1"/>
  <c r="L171" i="8"/>
  <c r="M171" i="8" s="1"/>
  <c r="H171" i="10"/>
  <c r="K171" i="10" s="1"/>
  <c r="L171" i="10" s="1"/>
  <c r="M171" i="10" s="1"/>
  <c r="L163" i="8"/>
  <c r="M163" i="8" s="1"/>
  <c r="H163" i="10"/>
  <c r="K163" i="10" s="1"/>
  <c r="L163" i="10" s="1"/>
  <c r="M163" i="10" s="1"/>
  <c r="L151" i="8"/>
  <c r="M151" i="8" s="1"/>
  <c r="H151" i="10"/>
  <c r="K151" i="10" s="1"/>
  <c r="L151" i="10" s="1"/>
  <c r="M151" i="10" s="1"/>
  <c r="L25" i="8"/>
  <c r="M25" i="8" s="1"/>
  <c r="H25" i="10"/>
  <c r="K25" i="10" s="1"/>
  <c r="L25" i="10" s="1"/>
  <c r="M25" i="10" s="1"/>
  <c r="L131" i="8"/>
  <c r="M131" i="8" s="1"/>
  <c r="H131" i="10"/>
  <c r="K131" i="10" s="1"/>
  <c r="L131" i="10" s="1"/>
  <c r="M131" i="10" s="1"/>
  <c r="L159" i="8"/>
  <c r="M159" i="8" s="1"/>
  <c r="H159" i="10"/>
  <c r="K159" i="10" s="1"/>
  <c r="L159" i="10" s="1"/>
  <c r="M159" i="10" s="1"/>
  <c r="L84" i="8"/>
  <c r="M84" i="8" s="1"/>
  <c r="H84" i="10"/>
  <c r="K84" i="10" s="1"/>
  <c r="L84" i="10" s="1"/>
  <c r="M84" i="10" s="1"/>
  <c r="L21" i="8"/>
  <c r="M21" i="8" s="1"/>
  <c r="H21" i="10"/>
  <c r="K21" i="10" s="1"/>
  <c r="L21" i="10" s="1"/>
  <c r="M21" i="10" s="1"/>
  <c r="L296" i="8"/>
  <c r="M296" i="8" s="1"/>
  <c r="H296" i="10"/>
  <c r="K296" i="10" s="1"/>
  <c r="L296" i="10" s="1"/>
  <c r="M296" i="10" s="1"/>
  <c r="L126" i="8"/>
  <c r="M126" i="8" s="1"/>
  <c r="H126" i="10"/>
  <c r="K126" i="10" s="1"/>
  <c r="L126" i="10" s="1"/>
  <c r="M126" i="10" s="1"/>
  <c r="L320" i="8"/>
  <c r="M320" i="8" s="1"/>
  <c r="H320" i="10"/>
  <c r="K320" i="10" s="1"/>
  <c r="L320" i="10" s="1"/>
  <c r="M320" i="10" s="1"/>
  <c r="L188" i="8"/>
  <c r="M188" i="8" s="1"/>
  <c r="H188" i="10"/>
  <c r="K188" i="10" s="1"/>
  <c r="L188" i="10" s="1"/>
  <c r="M188" i="10" s="1"/>
  <c r="L33" i="8"/>
  <c r="M33" i="8" s="1"/>
  <c r="H33" i="10"/>
  <c r="K33" i="10" s="1"/>
  <c r="L33" i="10" s="1"/>
  <c r="M33" i="10" s="1"/>
  <c r="L209" i="8"/>
  <c r="M209" i="8" s="1"/>
  <c r="H209" i="10"/>
  <c r="K209" i="10" s="1"/>
  <c r="L209" i="10" s="1"/>
  <c r="M209" i="10" s="1"/>
  <c r="L141" i="8"/>
  <c r="M141" i="8" s="1"/>
  <c r="H141" i="10"/>
  <c r="K141" i="10" s="1"/>
  <c r="L141" i="10" s="1"/>
  <c r="M141" i="10" s="1"/>
  <c r="L293" i="8"/>
  <c r="M293" i="8" s="1"/>
  <c r="H293" i="10"/>
  <c r="K293" i="10" s="1"/>
  <c r="L293" i="10" s="1"/>
  <c r="M293" i="10" s="1"/>
  <c r="L324" i="8"/>
  <c r="M324" i="8" s="1"/>
  <c r="H324" i="10"/>
  <c r="K324" i="10" s="1"/>
  <c r="L324" i="10" s="1"/>
  <c r="M324" i="10" s="1"/>
  <c r="L240" i="8"/>
  <c r="M240" i="8" s="1"/>
  <c r="H240" i="10"/>
  <c r="K240" i="10" s="1"/>
  <c r="L240" i="10" s="1"/>
  <c r="M240" i="10" s="1"/>
  <c r="L181" i="8"/>
  <c r="M181" i="8" s="1"/>
  <c r="H181" i="10"/>
  <c r="K181" i="10" s="1"/>
  <c r="L181" i="10" s="1"/>
  <c r="M181" i="10" s="1"/>
  <c r="L53" i="8"/>
  <c r="M53" i="8" s="1"/>
  <c r="H53" i="10"/>
  <c r="K53" i="10" s="1"/>
  <c r="L53" i="10" s="1"/>
  <c r="M53" i="10" s="1"/>
  <c r="L286" i="8"/>
  <c r="M286" i="8" s="1"/>
  <c r="H286" i="10"/>
  <c r="K286" i="10" s="1"/>
  <c r="L286" i="10" s="1"/>
  <c r="M286" i="10" s="1"/>
  <c r="L196" i="8"/>
  <c r="M196" i="8" s="1"/>
  <c r="H196" i="10"/>
  <c r="K196" i="10" s="1"/>
  <c r="L196" i="10" s="1"/>
  <c r="M196" i="10" s="1"/>
  <c r="X37" i="9"/>
  <c r="Y37" i="9" s="1"/>
  <c r="I37" i="10"/>
  <c r="I337" i="10" s="1"/>
  <c r="L115" i="8"/>
  <c r="M115" i="8" s="1"/>
  <c r="H115" i="10"/>
  <c r="K115" i="10" s="1"/>
  <c r="L115" i="10" s="1"/>
  <c r="M115" i="10" s="1"/>
  <c r="L152" i="8"/>
  <c r="M152" i="8" s="1"/>
  <c r="H152" i="10"/>
  <c r="K152" i="10" s="1"/>
  <c r="L152" i="10" s="1"/>
  <c r="M152" i="10" s="1"/>
  <c r="L101" i="8"/>
  <c r="M101" i="8" s="1"/>
  <c r="H101" i="10"/>
  <c r="K101" i="10" s="1"/>
  <c r="L101" i="10" s="1"/>
  <c r="M101" i="10" s="1"/>
  <c r="L279" i="8"/>
  <c r="M279" i="8" s="1"/>
  <c r="H279" i="10"/>
  <c r="K279" i="10" s="1"/>
  <c r="L279" i="10" s="1"/>
  <c r="M279" i="10" s="1"/>
  <c r="L203" i="8"/>
  <c r="M203" i="8" s="1"/>
  <c r="H203" i="10"/>
  <c r="K203" i="10" s="1"/>
  <c r="L203" i="10" s="1"/>
  <c r="M203" i="10" s="1"/>
  <c r="L78" i="8"/>
  <c r="M78" i="8" s="1"/>
  <c r="H78" i="10"/>
  <c r="K78" i="10" s="1"/>
  <c r="L78" i="10" s="1"/>
  <c r="M78" i="10" s="1"/>
  <c r="L284" i="8"/>
  <c r="M284" i="8" s="1"/>
  <c r="H284" i="10"/>
  <c r="K284" i="10" s="1"/>
  <c r="L284" i="10" s="1"/>
  <c r="M284" i="10" s="1"/>
  <c r="L95" i="8"/>
  <c r="M95" i="8" s="1"/>
  <c r="H95" i="10"/>
  <c r="K95" i="10" s="1"/>
  <c r="L95" i="10" s="1"/>
  <c r="M95" i="10" s="1"/>
  <c r="L244" i="8"/>
  <c r="M244" i="8" s="1"/>
  <c r="H244" i="10"/>
  <c r="K244" i="10" s="1"/>
  <c r="L244" i="10" s="1"/>
  <c r="M244" i="10" s="1"/>
  <c r="L308" i="8"/>
  <c r="M308" i="8" s="1"/>
  <c r="H308" i="10"/>
  <c r="K308" i="10" s="1"/>
  <c r="L308" i="10" s="1"/>
  <c r="M308" i="10" s="1"/>
  <c r="L224" i="8"/>
  <c r="M224" i="8" s="1"/>
  <c r="H224" i="10"/>
  <c r="K224" i="10" s="1"/>
  <c r="L224" i="10" s="1"/>
  <c r="M224" i="10" s="1"/>
  <c r="L137" i="8"/>
  <c r="M137" i="8" s="1"/>
  <c r="H137" i="10"/>
  <c r="K137" i="10" s="1"/>
  <c r="L137" i="10" s="1"/>
  <c r="M137" i="10" s="1"/>
  <c r="L165" i="8"/>
  <c r="M165" i="8" s="1"/>
  <c r="H165" i="10"/>
  <c r="K165" i="10" s="1"/>
  <c r="L165" i="10" s="1"/>
  <c r="M165" i="10" s="1"/>
  <c r="L168" i="8"/>
  <c r="M168" i="8" s="1"/>
  <c r="H168" i="10"/>
  <c r="K168" i="10" s="1"/>
  <c r="L168" i="10" s="1"/>
  <c r="M168" i="10" s="1"/>
  <c r="L91" i="8"/>
  <c r="M91" i="8" s="1"/>
  <c r="H91" i="10"/>
  <c r="K91" i="10" s="1"/>
  <c r="L91" i="10" s="1"/>
  <c r="M91" i="10" s="1"/>
  <c r="L170" i="8"/>
  <c r="M170" i="8" s="1"/>
  <c r="H170" i="10"/>
  <c r="K170" i="10" s="1"/>
  <c r="L170" i="10" s="1"/>
  <c r="M170" i="10" s="1"/>
  <c r="L250" i="8"/>
  <c r="M250" i="8" s="1"/>
  <c r="H250" i="10"/>
  <c r="K250" i="10" s="1"/>
  <c r="L250" i="10" s="1"/>
  <c r="M250" i="10" s="1"/>
  <c r="L310" i="8"/>
  <c r="M310" i="8" s="1"/>
  <c r="H310" i="10"/>
  <c r="K310" i="10" s="1"/>
  <c r="L310" i="10" s="1"/>
  <c r="M310" i="10" s="1"/>
  <c r="L330" i="8"/>
  <c r="M330" i="8" s="1"/>
  <c r="H330" i="10"/>
  <c r="K330" i="10" s="1"/>
  <c r="L330" i="10" s="1"/>
  <c r="M330" i="10" s="1"/>
  <c r="L309" i="8"/>
  <c r="M309" i="8" s="1"/>
  <c r="H309" i="10"/>
  <c r="K309" i="10" s="1"/>
  <c r="L309" i="10" s="1"/>
  <c r="M309" i="10" s="1"/>
  <c r="L158" i="8"/>
  <c r="M158" i="8" s="1"/>
  <c r="H158" i="10"/>
  <c r="K158" i="10" s="1"/>
  <c r="L158" i="10" s="1"/>
  <c r="M158" i="10" s="1"/>
  <c r="L236" i="8"/>
  <c r="M236" i="8" s="1"/>
  <c r="H236" i="10"/>
  <c r="K236" i="10" s="1"/>
  <c r="L236" i="10" s="1"/>
  <c r="M236" i="10" s="1"/>
  <c r="L86" i="8"/>
  <c r="M86" i="8" s="1"/>
  <c r="H86" i="10"/>
  <c r="K86" i="10" s="1"/>
  <c r="L86" i="10" s="1"/>
  <c r="M86" i="10" s="1"/>
  <c r="L42" i="8"/>
  <c r="M42" i="8" s="1"/>
  <c r="H42" i="10"/>
  <c r="K42" i="10" s="1"/>
  <c r="L42" i="10" s="1"/>
  <c r="M42" i="10" s="1"/>
  <c r="L277" i="8"/>
  <c r="M277" i="8" s="1"/>
  <c r="H277" i="10"/>
  <c r="K277" i="10" s="1"/>
  <c r="L277" i="10" s="1"/>
  <c r="M277" i="10" s="1"/>
  <c r="L155" i="8"/>
  <c r="M155" i="8" s="1"/>
  <c r="H155" i="10"/>
  <c r="K155" i="10" s="1"/>
  <c r="L155" i="10" s="1"/>
  <c r="M155" i="10" s="1"/>
  <c r="L65" i="8"/>
  <c r="M65" i="8" s="1"/>
  <c r="H65" i="10"/>
  <c r="K65" i="10" s="1"/>
  <c r="L65" i="10" s="1"/>
  <c r="M65" i="10" s="1"/>
  <c r="L237" i="8"/>
  <c r="M237" i="8" s="1"/>
  <c r="H237" i="10"/>
  <c r="K237" i="10" s="1"/>
  <c r="L237" i="10" s="1"/>
  <c r="M237" i="10" s="1"/>
  <c r="L234" i="8"/>
  <c r="M234" i="8" s="1"/>
  <c r="H234" i="10"/>
  <c r="K234" i="10" s="1"/>
  <c r="L234" i="10" s="1"/>
  <c r="M234" i="10" s="1"/>
  <c r="L73" i="8"/>
  <c r="M73" i="8" s="1"/>
  <c r="H73" i="10"/>
  <c r="K73" i="10" s="1"/>
  <c r="L73" i="10" s="1"/>
  <c r="M73" i="10" s="1"/>
  <c r="L202" i="8"/>
  <c r="M202" i="8" s="1"/>
  <c r="H202" i="10"/>
  <c r="K202" i="10" s="1"/>
  <c r="L202" i="10" s="1"/>
  <c r="M202" i="10" s="1"/>
  <c r="L201" i="8"/>
  <c r="M201" i="8" s="1"/>
  <c r="H201" i="10"/>
  <c r="K201" i="10" s="1"/>
  <c r="L201" i="10" s="1"/>
  <c r="M201" i="10" s="1"/>
  <c r="L321" i="8"/>
  <c r="M321" i="8" s="1"/>
  <c r="H321" i="10"/>
  <c r="K321" i="10" s="1"/>
  <c r="L321" i="10" s="1"/>
  <c r="M321" i="10" s="1"/>
  <c r="L27" i="8"/>
  <c r="M27" i="8" s="1"/>
  <c r="H27" i="10"/>
  <c r="K27" i="10" s="1"/>
  <c r="L27" i="10" s="1"/>
  <c r="M27" i="10" s="1"/>
  <c r="L200" i="8"/>
  <c r="M200" i="8" s="1"/>
  <c r="H200" i="10"/>
  <c r="K200" i="10" s="1"/>
  <c r="L200" i="10" s="1"/>
  <c r="M200" i="10" s="1"/>
  <c r="L106" i="8"/>
  <c r="M106" i="8" s="1"/>
  <c r="H106" i="10"/>
  <c r="K106" i="10" s="1"/>
  <c r="L106" i="10" s="1"/>
  <c r="M106" i="10" s="1"/>
  <c r="L132" i="8"/>
  <c r="M132" i="8" s="1"/>
  <c r="H132" i="10"/>
  <c r="K132" i="10" s="1"/>
  <c r="L132" i="10" s="1"/>
  <c r="M132" i="10" s="1"/>
  <c r="L319" i="8"/>
  <c r="M319" i="8" s="1"/>
  <c r="H319" i="10"/>
  <c r="K319" i="10" s="1"/>
  <c r="L319" i="10" s="1"/>
  <c r="M319" i="10" s="1"/>
  <c r="L67" i="8"/>
  <c r="M67" i="8" s="1"/>
  <c r="H67" i="10"/>
  <c r="K67" i="10" s="1"/>
  <c r="L67" i="10" s="1"/>
  <c r="M67" i="10" s="1"/>
  <c r="L217" i="8"/>
  <c r="M217" i="8" s="1"/>
  <c r="H217" i="10"/>
  <c r="K217" i="10" s="1"/>
  <c r="L217" i="10" s="1"/>
  <c r="M217" i="10" s="1"/>
  <c r="L256" i="8"/>
  <c r="M256" i="8" s="1"/>
  <c r="H256" i="10"/>
  <c r="K256" i="10" s="1"/>
  <c r="L256" i="10" s="1"/>
  <c r="M256" i="10" s="1"/>
  <c r="L307" i="8"/>
  <c r="M307" i="8" s="1"/>
  <c r="H307" i="10"/>
  <c r="K307" i="10" s="1"/>
  <c r="L307" i="10" s="1"/>
  <c r="M307" i="10" s="1"/>
  <c r="L306" i="8"/>
  <c r="M306" i="8" s="1"/>
  <c r="H306" i="10"/>
  <c r="K306" i="10" s="1"/>
  <c r="L306" i="10" s="1"/>
  <c r="M306" i="10" s="1"/>
  <c r="L242" i="8"/>
  <c r="M242" i="8" s="1"/>
  <c r="H242" i="10"/>
  <c r="K242" i="10" s="1"/>
  <c r="L242" i="10" s="1"/>
  <c r="M242" i="10" s="1"/>
  <c r="L139" i="8"/>
  <c r="M139" i="8" s="1"/>
  <c r="H139" i="10"/>
  <c r="K139" i="10" s="1"/>
  <c r="L139" i="10" s="1"/>
  <c r="M139" i="10" s="1"/>
  <c r="L283" i="8"/>
  <c r="M283" i="8" s="1"/>
  <c r="H283" i="10"/>
  <c r="K283" i="10" s="1"/>
  <c r="L283" i="10" s="1"/>
  <c r="M283" i="10" s="1"/>
  <c r="L99" i="8"/>
  <c r="M99" i="8" s="1"/>
  <c r="H99" i="10"/>
  <c r="K99" i="10" s="1"/>
  <c r="L99" i="10" s="1"/>
  <c r="M99" i="10" s="1"/>
  <c r="L32" i="8"/>
  <c r="M32" i="8" s="1"/>
  <c r="H32" i="10"/>
  <c r="K32" i="10" s="1"/>
  <c r="L32" i="10" s="1"/>
  <c r="M32" i="10" s="1"/>
  <c r="L103" i="8"/>
  <c r="M103" i="8" s="1"/>
  <c r="H103" i="10"/>
  <c r="K103" i="10" s="1"/>
  <c r="L103" i="10" s="1"/>
  <c r="M103" i="10" s="1"/>
  <c r="L64" i="8"/>
  <c r="M64" i="8" s="1"/>
  <c r="H64" i="10"/>
  <c r="K64" i="10" s="1"/>
  <c r="L64" i="10" s="1"/>
  <c r="M64" i="10" s="1"/>
  <c r="L166" i="8"/>
  <c r="M166" i="8" s="1"/>
  <c r="H166" i="10"/>
  <c r="K166" i="10" s="1"/>
  <c r="L166" i="10" s="1"/>
  <c r="M166" i="10" s="1"/>
  <c r="L238" i="8"/>
  <c r="M238" i="8" s="1"/>
  <c r="H238" i="10"/>
  <c r="K238" i="10" s="1"/>
  <c r="L238" i="10" s="1"/>
  <c r="M238" i="10" s="1"/>
  <c r="L278" i="8"/>
  <c r="M278" i="8" s="1"/>
  <c r="H278" i="10"/>
  <c r="K278" i="10" s="1"/>
  <c r="L278" i="10" s="1"/>
  <c r="M278" i="10" s="1"/>
  <c r="L40" i="8"/>
  <c r="M40" i="8" s="1"/>
  <c r="H40" i="10"/>
  <c r="K40" i="10" s="1"/>
  <c r="L40" i="10" s="1"/>
  <c r="M40" i="10" s="1"/>
  <c r="L227" i="8"/>
  <c r="M227" i="8" s="1"/>
  <c r="H227" i="10"/>
  <c r="K227" i="10" s="1"/>
  <c r="L227" i="10" s="1"/>
  <c r="M227" i="10" s="1"/>
  <c r="L120" i="8"/>
  <c r="M120" i="8" s="1"/>
  <c r="H120" i="10"/>
  <c r="K120" i="10" s="1"/>
  <c r="L120" i="10" s="1"/>
  <c r="M120" i="10" s="1"/>
  <c r="L204" i="8"/>
  <c r="M204" i="8" s="1"/>
  <c r="H204" i="10"/>
  <c r="K204" i="10" s="1"/>
  <c r="L204" i="10" s="1"/>
  <c r="M204" i="10" s="1"/>
  <c r="L208" i="8"/>
  <c r="M208" i="8" s="1"/>
  <c r="H208" i="10"/>
  <c r="K208" i="10" s="1"/>
  <c r="L208" i="10" s="1"/>
  <c r="M208" i="10" s="1"/>
  <c r="L128" i="8"/>
  <c r="M128" i="8" s="1"/>
  <c r="H128" i="10"/>
  <c r="K128" i="10" s="1"/>
  <c r="L128" i="10" s="1"/>
  <c r="M128" i="10" s="1"/>
  <c r="L313" i="8"/>
  <c r="M313" i="8" s="1"/>
  <c r="H313" i="10"/>
  <c r="K313" i="10" s="1"/>
  <c r="L313" i="10" s="1"/>
  <c r="M313" i="10" s="1"/>
  <c r="L79" i="8"/>
  <c r="M79" i="8" s="1"/>
  <c r="H79" i="10"/>
  <c r="K79" i="10" s="1"/>
  <c r="L79" i="10" s="1"/>
  <c r="M79" i="10" s="1"/>
  <c r="L220" i="8"/>
  <c r="M220" i="8" s="1"/>
  <c r="H220" i="10"/>
  <c r="K220" i="10" s="1"/>
  <c r="L220" i="10" s="1"/>
  <c r="M220" i="10" s="1"/>
  <c r="L81" i="8"/>
  <c r="M81" i="8" s="1"/>
  <c r="H81" i="10"/>
  <c r="K81" i="10" s="1"/>
  <c r="L81" i="10" s="1"/>
  <c r="M81" i="10" s="1"/>
  <c r="L267" i="8"/>
  <c r="M267" i="8" s="1"/>
  <c r="H267" i="10"/>
  <c r="K267" i="10" s="1"/>
  <c r="L267" i="10" s="1"/>
  <c r="M267" i="10" s="1"/>
  <c r="L45" i="8"/>
  <c r="M45" i="8" s="1"/>
  <c r="H45" i="10"/>
  <c r="K45" i="10" s="1"/>
  <c r="L45" i="10" s="1"/>
  <c r="M45" i="10" s="1"/>
  <c r="L252" i="8"/>
  <c r="M252" i="8" s="1"/>
  <c r="H252" i="10"/>
  <c r="K252" i="10" s="1"/>
  <c r="L252" i="10" s="1"/>
  <c r="M252" i="10" s="1"/>
  <c r="L214" i="8"/>
  <c r="M214" i="8" s="1"/>
  <c r="H214" i="10"/>
  <c r="K214" i="10" s="1"/>
  <c r="L214" i="10" s="1"/>
  <c r="M214" i="10" s="1"/>
  <c r="L323" i="8"/>
  <c r="M323" i="8" s="1"/>
  <c r="H323" i="10"/>
  <c r="K323" i="10" s="1"/>
  <c r="L323" i="10" s="1"/>
  <c r="M323" i="10" s="1"/>
  <c r="L89" i="8"/>
  <c r="M89" i="8" s="1"/>
  <c r="H89" i="10"/>
  <c r="K89" i="10" s="1"/>
  <c r="L89" i="10" s="1"/>
  <c r="M89" i="10" s="1"/>
  <c r="L143" i="8"/>
  <c r="M143" i="8" s="1"/>
  <c r="H143" i="10"/>
  <c r="K143" i="10" s="1"/>
  <c r="L143" i="10" s="1"/>
  <c r="M143" i="10" s="1"/>
  <c r="L157" i="8"/>
  <c r="M157" i="8" s="1"/>
  <c r="H157" i="10"/>
  <c r="K157" i="10" s="1"/>
  <c r="L157" i="10" s="1"/>
  <c r="M157" i="10" s="1"/>
  <c r="L123" i="8"/>
  <c r="M123" i="8" s="1"/>
  <c r="H123" i="10"/>
  <c r="K123" i="10" s="1"/>
  <c r="L123" i="10" s="1"/>
  <c r="M123" i="10" s="1"/>
  <c r="L44" i="8"/>
  <c r="M44" i="8" s="1"/>
  <c r="H44" i="10"/>
  <c r="K44" i="10" s="1"/>
  <c r="L44" i="10" s="1"/>
  <c r="M44" i="10" s="1"/>
  <c r="L57" i="8"/>
  <c r="M57" i="8" s="1"/>
  <c r="H57" i="10"/>
  <c r="K57" i="10" s="1"/>
  <c r="L57" i="10" s="1"/>
  <c r="M57" i="10" s="1"/>
  <c r="L192" i="8"/>
  <c r="M192" i="8" s="1"/>
  <c r="H192" i="10"/>
  <c r="K192" i="10" s="1"/>
  <c r="L192" i="10" s="1"/>
  <c r="M192" i="10" s="1"/>
  <c r="L92" i="8"/>
  <c r="M92" i="8" s="1"/>
  <c r="H92" i="10"/>
  <c r="K92" i="10" s="1"/>
  <c r="L92" i="10" s="1"/>
  <c r="M92" i="10" s="1"/>
  <c r="L88" i="8"/>
  <c r="M88" i="8" s="1"/>
  <c r="H88" i="10"/>
  <c r="K88" i="10" s="1"/>
  <c r="L88" i="10" s="1"/>
  <c r="M88" i="10" s="1"/>
  <c r="L281" i="8"/>
  <c r="M281" i="8" s="1"/>
  <c r="H281" i="10"/>
  <c r="K281" i="10" s="1"/>
  <c r="L281" i="10" s="1"/>
  <c r="M281" i="10" s="1"/>
  <c r="L216" i="8"/>
  <c r="M216" i="8" s="1"/>
  <c r="H216" i="10"/>
  <c r="K216" i="10" s="1"/>
  <c r="L216" i="10" s="1"/>
  <c r="M216" i="10" s="1"/>
  <c r="L245" i="8"/>
  <c r="M245" i="8" s="1"/>
  <c r="H245" i="10"/>
  <c r="K245" i="10" s="1"/>
  <c r="L245" i="10" s="1"/>
  <c r="M245" i="10" s="1"/>
  <c r="L207" i="8"/>
  <c r="M207" i="8" s="1"/>
  <c r="H207" i="10"/>
  <c r="K207" i="10" s="1"/>
  <c r="L207" i="10" s="1"/>
  <c r="M207" i="10" s="1"/>
  <c r="L100" i="8"/>
  <c r="M100" i="8" s="1"/>
  <c r="H100" i="10"/>
  <c r="K100" i="10" s="1"/>
  <c r="L100" i="10" s="1"/>
  <c r="M100" i="10" s="1"/>
  <c r="L56" i="8"/>
  <c r="M56" i="8" s="1"/>
  <c r="H56" i="10"/>
  <c r="K56" i="10" s="1"/>
  <c r="L56" i="10" s="1"/>
  <c r="M56" i="10" s="1"/>
  <c r="L231" i="8"/>
  <c r="M231" i="8" s="1"/>
  <c r="H231" i="10"/>
  <c r="K231" i="10" s="1"/>
  <c r="L231" i="10" s="1"/>
  <c r="M231" i="10" s="1"/>
  <c r="L127" i="8"/>
  <c r="M127" i="8" s="1"/>
  <c r="H127" i="10"/>
  <c r="K127" i="10" s="1"/>
  <c r="L127" i="10" s="1"/>
  <c r="M127" i="10" s="1"/>
  <c r="L35" i="8"/>
  <c r="M35" i="8" s="1"/>
  <c r="H35" i="10"/>
  <c r="K35" i="10" s="1"/>
  <c r="L35" i="10" s="1"/>
  <c r="M35" i="10" s="1"/>
  <c r="L97" i="8"/>
  <c r="M97" i="8" s="1"/>
  <c r="H97" i="10"/>
  <c r="K97" i="10" s="1"/>
  <c r="L97" i="10" s="1"/>
  <c r="M97" i="10" s="1"/>
  <c r="L118" i="8"/>
  <c r="M118" i="8" s="1"/>
  <c r="H118" i="10"/>
  <c r="K118" i="10" s="1"/>
  <c r="L118" i="10" s="1"/>
  <c r="M118" i="10" s="1"/>
  <c r="L135" i="8"/>
  <c r="M135" i="8" s="1"/>
  <c r="H135" i="10"/>
  <c r="K135" i="10" s="1"/>
  <c r="L135" i="10" s="1"/>
  <c r="M135" i="10" s="1"/>
  <c r="L34" i="8"/>
  <c r="M34" i="8" s="1"/>
  <c r="H34" i="10"/>
  <c r="K34" i="10" s="1"/>
  <c r="L34" i="10" s="1"/>
  <c r="M34" i="10" s="1"/>
  <c r="L104" i="8"/>
  <c r="M104" i="8" s="1"/>
  <c r="H104" i="10"/>
  <c r="K104" i="10" s="1"/>
  <c r="L104" i="10" s="1"/>
  <c r="M104" i="10" s="1"/>
  <c r="L13" i="8"/>
  <c r="M13" i="8" s="1"/>
  <c r="H13" i="10"/>
  <c r="K13" i="10" s="1"/>
  <c r="L13" i="10" s="1"/>
  <c r="M13" i="10" s="1"/>
  <c r="L59" i="8"/>
  <c r="M59" i="8" s="1"/>
  <c r="H59" i="10"/>
  <c r="K59" i="10" s="1"/>
  <c r="L59" i="10" s="1"/>
  <c r="M59" i="10" s="1"/>
  <c r="L326" i="8"/>
  <c r="M326" i="8" s="1"/>
  <c r="H326" i="10"/>
  <c r="K326" i="10" s="1"/>
  <c r="L326" i="10" s="1"/>
  <c r="M326" i="10" s="1"/>
  <c r="L74" i="8"/>
  <c r="M74" i="8" s="1"/>
  <c r="H74" i="10"/>
  <c r="K74" i="10" s="1"/>
  <c r="L74" i="10" s="1"/>
  <c r="M74" i="10" s="1"/>
  <c r="L16" i="8"/>
  <c r="M16" i="8" s="1"/>
  <c r="H16" i="10"/>
  <c r="K16" i="10" s="1"/>
  <c r="L16" i="10" s="1"/>
  <c r="M16" i="10" s="1"/>
  <c r="L26" i="8"/>
  <c r="M26" i="8" s="1"/>
  <c r="H26" i="10"/>
  <c r="K26" i="10" s="1"/>
  <c r="L26" i="10" s="1"/>
  <c r="M26" i="10" s="1"/>
  <c r="L48" i="8"/>
  <c r="M48" i="8" s="1"/>
  <c r="H48" i="10"/>
  <c r="K48" i="10" s="1"/>
  <c r="L48" i="10" s="1"/>
  <c r="M48" i="10" s="1"/>
  <c r="L18" i="8"/>
  <c r="M18" i="8" s="1"/>
  <c r="H18" i="10"/>
  <c r="K18" i="10" s="1"/>
  <c r="L18" i="10" s="1"/>
  <c r="M18" i="10" s="1"/>
  <c r="L194" i="8"/>
  <c r="M194" i="8" s="1"/>
  <c r="H194" i="10"/>
  <c r="K194" i="10" s="1"/>
  <c r="L194" i="10" s="1"/>
  <c r="M194" i="10" s="1"/>
  <c r="L213" i="8"/>
  <c r="M213" i="8" s="1"/>
  <c r="H213" i="10"/>
  <c r="K213" i="10" s="1"/>
  <c r="L213" i="10" s="1"/>
  <c r="M213" i="10" s="1"/>
  <c r="L287" i="8"/>
  <c r="M287" i="8" s="1"/>
  <c r="H287" i="10"/>
  <c r="K287" i="10" s="1"/>
  <c r="L287" i="10" s="1"/>
  <c r="M287" i="10" s="1"/>
  <c r="L24" i="8"/>
  <c r="M24" i="8" s="1"/>
  <c r="H24" i="10"/>
  <c r="K24" i="10" s="1"/>
  <c r="L24" i="10" s="1"/>
  <c r="M24" i="10" s="1"/>
  <c r="L116" i="8"/>
  <c r="M116" i="8" s="1"/>
  <c r="H116" i="10"/>
  <c r="K116" i="10" s="1"/>
  <c r="L116" i="10" s="1"/>
  <c r="M116" i="10" s="1"/>
  <c r="L233" i="8"/>
  <c r="M233" i="8" s="1"/>
  <c r="H233" i="10"/>
  <c r="K233" i="10" s="1"/>
  <c r="L233" i="10" s="1"/>
  <c r="M233" i="10" s="1"/>
  <c r="L52" i="8"/>
  <c r="M52" i="8" s="1"/>
  <c r="H52" i="10"/>
  <c r="K52" i="10" s="1"/>
  <c r="L52" i="10" s="1"/>
  <c r="M52" i="10" s="1"/>
  <c r="L90" i="8"/>
  <c r="M90" i="8" s="1"/>
  <c r="H90" i="10"/>
  <c r="K90" i="10" s="1"/>
  <c r="L90" i="10" s="1"/>
  <c r="M90" i="10" s="1"/>
  <c r="L161" i="8"/>
  <c r="M161" i="8" s="1"/>
  <c r="H161" i="10"/>
  <c r="K161" i="10" s="1"/>
  <c r="L161" i="10" s="1"/>
  <c r="M161" i="10" s="1"/>
  <c r="L179" i="8"/>
  <c r="M179" i="8" s="1"/>
  <c r="H179" i="10"/>
  <c r="K179" i="10" s="1"/>
  <c r="L179" i="10" s="1"/>
  <c r="M179" i="10" s="1"/>
  <c r="L147" i="8"/>
  <c r="M147" i="8" s="1"/>
  <c r="H147" i="10"/>
  <c r="K147" i="10" s="1"/>
  <c r="L147" i="10" s="1"/>
  <c r="M147" i="10" s="1"/>
  <c r="L197" i="8"/>
  <c r="M197" i="8" s="1"/>
  <c r="H197" i="10"/>
  <c r="K197" i="10" s="1"/>
  <c r="L197" i="10" s="1"/>
  <c r="M197" i="10" s="1"/>
  <c r="L295" i="8"/>
  <c r="M295" i="8" s="1"/>
  <c r="H295" i="10"/>
  <c r="K295" i="10" s="1"/>
  <c r="L295" i="10" s="1"/>
  <c r="M295" i="10" s="1"/>
  <c r="L223" i="8"/>
  <c r="M223" i="8" s="1"/>
  <c r="H223" i="10"/>
  <c r="K223" i="10" s="1"/>
  <c r="L223" i="10" s="1"/>
  <c r="M223" i="10" s="1"/>
  <c r="L169" i="8"/>
  <c r="M169" i="8" s="1"/>
  <c r="H169" i="10"/>
  <c r="K169" i="10" s="1"/>
  <c r="L169" i="10" s="1"/>
  <c r="M169" i="10" s="1"/>
  <c r="L222" i="8"/>
  <c r="M222" i="8" s="1"/>
  <c r="H222" i="10"/>
  <c r="K222" i="10" s="1"/>
  <c r="L222" i="10" s="1"/>
  <c r="M222" i="10" s="1"/>
  <c r="L301" i="8"/>
  <c r="M301" i="8" s="1"/>
  <c r="H301" i="10"/>
  <c r="K301" i="10" s="1"/>
  <c r="L301" i="10" s="1"/>
  <c r="M301" i="10" s="1"/>
  <c r="L85" i="8"/>
  <c r="M85" i="8" s="1"/>
  <c r="H85" i="10"/>
  <c r="K85" i="10" s="1"/>
  <c r="L85" i="10" s="1"/>
  <c r="M85" i="10" s="1"/>
  <c r="L107" i="8"/>
  <c r="M107" i="8" s="1"/>
  <c r="H107" i="10"/>
  <c r="K107" i="10" s="1"/>
  <c r="L107" i="10" s="1"/>
  <c r="M107" i="10" s="1"/>
  <c r="L285" i="8"/>
  <c r="M285" i="8" s="1"/>
  <c r="H285" i="10"/>
  <c r="K285" i="10" s="1"/>
  <c r="L285" i="10" s="1"/>
  <c r="M285" i="10" s="1"/>
  <c r="L297" i="8"/>
  <c r="M297" i="8" s="1"/>
  <c r="H297" i="10"/>
  <c r="K297" i="10" s="1"/>
  <c r="L297" i="10" s="1"/>
  <c r="M297" i="10" s="1"/>
  <c r="L215" i="8"/>
  <c r="M215" i="8" s="1"/>
  <c r="H215" i="10"/>
  <c r="K215" i="10" s="1"/>
  <c r="L215" i="10" s="1"/>
  <c r="M215" i="10" s="1"/>
  <c r="L37" i="8"/>
  <c r="M37" i="8" s="1"/>
  <c r="H37" i="10"/>
  <c r="L15" i="8"/>
  <c r="M15" i="8" s="1"/>
  <c r="H15" i="10"/>
  <c r="K15" i="10" s="1"/>
  <c r="L15" i="10" s="1"/>
  <c r="M15" i="10" s="1"/>
  <c r="L265" i="8"/>
  <c r="M265" i="8" s="1"/>
  <c r="H265" i="10"/>
  <c r="K265" i="10" s="1"/>
  <c r="L265" i="10" s="1"/>
  <c r="M265" i="10" s="1"/>
  <c r="L318" i="8"/>
  <c r="M318" i="8" s="1"/>
  <c r="H318" i="10"/>
  <c r="K318" i="10" s="1"/>
  <c r="L318" i="10" s="1"/>
  <c r="M318" i="10" s="1"/>
  <c r="L22" i="8"/>
  <c r="M22" i="8" s="1"/>
  <c r="H22" i="10"/>
  <c r="K22" i="10" s="1"/>
  <c r="L22" i="10" s="1"/>
  <c r="M22" i="10" s="1"/>
  <c r="L290" i="8"/>
  <c r="M290" i="8" s="1"/>
  <c r="H290" i="10"/>
  <c r="K290" i="10" s="1"/>
  <c r="L290" i="10" s="1"/>
  <c r="M290" i="10" s="1"/>
  <c r="L62" i="8"/>
  <c r="M62" i="8" s="1"/>
  <c r="H62" i="10"/>
  <c r="K62" i="10" s="1"/>
  <c r="L62" i="10" s="1"/>
  <c r="M62" i="10" s="1"/>
  <c r="L122" i="8"/>
  <c r="M122" i="8" s="1"/>
  <c r="H122" i="10"/>
  <c r="K122" i="10" s="1"/>
  <c r="L122" i="10" s="1"/>
  <c r="M122" i="10" s="1"/>
  <c r="L291" i="8"/>
  <c r="M291" i="8" s="1"/>
  <c r="H291" i="10"/>
  <c r="K291" i="10" s="1"/>
  <c r="L291" i="10" s="1"/>
  <c r="M291" i="10" s="1"/>
  <c r="L212" i="8"/>
  <c r="M212" i="8" s="1"/>
  <c r="H212" i="10"/>
  <c r="K212" i="10" s="1"/>
  <c r="L212" i="10" s="1"/>
  <c r="M212" i="10" s="1"/>
  <c r="L93" i="8"/>
  <c r="M93" i="8" s="1"/>
  <c r="H93" i="10"/>
  <c r="K93" i="10" s="1"/>
  <c r="L93" i="10" s="1"/>
  <c r="M93" i="10" s="1"/>
  <c r="L177" i="8"/>
  <c r="M177" i="8" s="1"/>
  <c r="H177" i="10"/>
  <c r="K177" i="10" s="1"/>
  <c r="L177" i="10" s="1"/>
  <c r="M177" i="10" s="1"/>
  <c r="L228" i="8"/>
  <c r="M228" i="8" s="1"/>
  <c r="H228" i="10"/>
  <c r="K228" i="10" s="1"/>
  <c r="L228" i="10" s="1"/>
  <c r="M228" i="10" s="1"/>
  <c r="L23" i="8"/>
  <c r="M23" i="8" s="1"/>
  <c r="H23" i="10"/>
  <c r="K23" i="10" s="1"/>
  <c r="L23" i="10" s="1"/>
  <c r="M23" i="10" s="1"/>
  <c r="L114" i="8"/>
  <c r="M114" i="8" s="1"/>
  <c r="H114" i="10"/>
  <c r="K114" i="10" s="1"/>
  <c r="L114" i="10" s="1"/>
  <c r="M114" i="10" s="1"/>
  <c r="L136" i="8"/>
  <c r="M136" i="8" s="1"/>
  <c r="H136" i="10"/>
  <c r="K136" i="10" s="1"/>
  <c r="L136" i="10" s="1"/>
  <c r="M136" i="10" s="1"/>
  <c r="L70" i="8"/>
  <c r="M70" i="8" s="1"/>
  <c r="H70" i="10"/>
  <c r="K70" i="10" s="1"/>
  <c r="L70" i="10" s="1"/>
  <c r="M70" i="10" s="1"/>
  <c r="L264" i="8"/>
  <c r="M264" i="8" s="1"/>
  <c r="H264" i="10"/>
  <c r="K264" i="10" s="1"/>
  <c r="L264" i="10" s="1"/>
  <c r="M264" i="10" s="1"/>
  <c r="L180" i="8"/>
  <c r="M180" i="8" s="1"/>
  <c r="H180" i="10"/>
  <c r="K180" i="10" s="1"/>
  <c r="L180" i="10" s="1"/>
  <c r="M180" i="10" s="1"/>
  <c r="L96" i="8"/>
  <c r="M96" i="8" s="1"/>
  <c r="H96" i="10"/>
  <c r="K96" i="10" s="1"/>
  <c r="L96" i="10" s="1"/>
  <c r="M96" i="10" s="1"/>
  <c r="L262" i="8"/>
  <c r="M262" i="8" s="1"/>
  <c r="H262" i="10"/>
  <c r="K262" i="10" s="1"/>
  <c r="L262" i="10" s="1"/>
  <c r="M262" i="10" s="1"/>
  <c r="L102" i="8"/>
  <c r="M102" i="8" s="1"/>
  <c r="H102" i="10"/>
  <c r="K102" i="10" s="1"/>
  <c r="L102" i="10" s="1"/>
  <c r="M102" i="10" s="1"/>
  <c r="L292" i="8"/>
  <c r="M292" i="8" s="1"/>
  <c r="H292" i="10"/>
  <c r="K292" i="10" s="1"/>
  <c r="L292" i="10" s="1"/>
  <c r="M292" i="10" s="1"/>
  <c r="K162" i="10"/>
  <c r="L162" i="10" s="1"/>
  <c r="M162" i="10" s="1"/>
  <c r="L305" i="8"/>
  <c r="M305" i="8" s="1"/>
  <c r="H305" i="10"/>
  <c r="K305" i="10" s="1"/>
  <c r="L305" i="10" s="1"/>
  <c r="M305" i="10" s="1"/>
  <c r="L49" i="8"/>
  <c r="M49" i="8" s="1"/>
  <c r="H49" i="10"/>
  <c r="K49" i="10" s="1"/>
  <c r="L49" i="10" s="1"/>
  <c r="M49" i="10" s="1"/>
  <c r="L258" i="8"/>
  <c r="M258" i="8" s="1"/>
  <c r="H258" i="10"/>
  <c r="K258" i="10" s="1"/>
  <c r="L258" i="10" s="1"/>
  <c r="M258" i="10" s="1"/>
  <c r="L60" i="8"/>
  <c r="M60" i="8" s="1"/>
  <c r="H60" i="10"/>
  <c r="K60" i="10" s="1"/>
  <c r="L60" i="10" s="1"/>
  <c r="M60" i="10" s="1"/>
  <c r="L80" i="8"/>
  <c r="M80" i="8" s="1"/>
  <c r="H80" i="10"/>
  <c r="K80" i="10" s="1"/>
  <c r="L80" i="10" s="1"/>
  <c r="M80" i="10" s="1"/>
  <c r="L249" i="8"/>
  <c r="M249" i="8" s="1"/>
  <c r="H249" i="10"/>
  <c r="K249" i="10" s="1"/>
  <c r="L249" i="10" s="1"/>
  <c r="M249" i="10" s="1"/>
  <c r="L254" i="8"/>
  <c r="M254" i="8" s="1"/>
  <c r="H254" i="10"/>
  <c r="K254" i="10" s="1"/>
  <c r="L254" i="10" s="1"/>
  <c r="M254" i="10" s="1"/>
  <c r="L300" i="8"/>
  <c r="M300" i="8" s="1"/>
  <c r="H300" i="10"/>
  <c r="K300" i="10" s="1"/>
  <c r="L300" i="10" s="1"/>
  <c r="M300" i="10" s="1"/>
  <c r="L332" i="8"/>
  <c r="M332" i="8" s="1"/>
  <c r="H332" i="10"/>
  <c r="K332" i="10" s="1"/>
  <c r="L332" i="10" s="1"/>
  <c r="M332" i="10" s="1"/>
  <c r="L31" i="8"/>
  <c r="M31" i="8" s="1"/>
  <c r="H31" i="10"/>
  <c r="K31" i="10" s="1"/>
  <c r="L31" i="10" s="1"/>
  <c r="M31" i="10" s="1"/>
  <c r="L87" i="8"/>
  <c r="M87" i="8" s="1"/>
  <c r="H87" i="10"/>
  <c r="K87" i="10" s="1"/>
  <c r="L87" i="10" s="1"/>
  <c r="M87" i="10" s="1"/>
  <c r="L144" i="8"/>
  <c r="M144" i="8" s="1"/>
  <c r="H144" i="10"/>
  <c r="K144" i="10" s="1"/>
  <c r="L144" i="10" s="1"/>
  <c r="M144" i="10" s="1"/>
  <c r="L280" i="8"/>
  <c r="M280" i="8" s="1"/>
  <c r="H280" i="10"/>
  <c r="K280" i="10" s="1"/>
  <c r="L280" i="10" s="1"/>
  <c r="M280" i="10" s="1"/>
  <c r="L268" i="8"/>
  <c r="M268" i="8" s="1"/>
  <c r="H268" i="10"/>
  <c r="K268" i="10" s="1"/>
  <c r="L268" i="10" s="1"/>
  <c r="M268" i="10" s="1"/>
  <c r="L298" i="8"/>
  <c r="M298" i="8" s="1"/>
  <c r="H298" i="10"/>
  <c r="K298" i="10" s="1"/>
  <c r="L298" i="10" s="1"/>
  <c r="M298" i="10" s="1"/>
  <c r="L255" i="8"/>
  <c r="M255" i="8" s="1"/>
  <c r="H255" i="10"/>
  <c r="K255" i="10" s="1"/>
  <c r="L255" i="10" s="1"/>
  <c r="M255" i="10" s="1"/>
  <c r="L72" i="8"/>
  <c r="M72" i="8" s="1"/>
  <c r="H72" i="10"/>
  <c r="K72" i="10" s="1"/>
  <c r="L72" i="10" s="1"/>
  <c r="M72" i="10" s="1"/>
  <c r="L275" i="8"/>
  <c r="M275" i="8" s="1"/>
  <c r="H275" i="10"/>
  <c r="K275" i="10" s="1"/>
  <c r="L275" i="10" s="1"/>
  <c r="M275" i="10" s="1"/>
  <c r="L186" i="8"/>
  <c r="M186" i="8" s="1"/>
  <c r="H186" i="10"/>
  <c r="K186" i="10" s="1"/>
  <c r="L186" i="10" s="1"/>
  <c r="M186" i="10" s="1"/>
  <c r="L174" i="8"/>
  <c r="M174" i="8" s="1"/>
  <c r="H174" i="10"/>
  <c r="K174" i="10" s="1"/>
  <c r="L174" i="10" s="1"/>
  <c r="M174" i="10" s="1"/>
  <c r="L248" i="8"/>
  <c r="M248" i="8" s="1"/>
  <c r="H248" i="10"/>
  <c r="K248" i="10" s="1"/>
  <c r="L248" i="10" s="1"/>
  <c r="M248" i="10" s="1"/>
  <c r="L164" i="8"/>
  <c r="M164" i="8" s="1"/>
  <c r="H164" i="10"/>
  <c r="K164" i="10" s="1"/>
  <c r="L164" i="10" s="1"/>
  <c r="M164" i="10" s="1"/>
  <c r="L20" i="8"/>
  <c r="M20" i="8" s="1"/>
  <c r="H20" i="10"/>
  <c r="K20" i="10" s="1"/>
  <c r="L20" i="10" s="1"/>
  <c r="M20" i="10" s="1"/>
  <c r="L77" i="8"/>
  <c r="M77" i="8" s="1"/>
  <c r="H77" i="10"/>
  <c r="K77" i="10" s="1"/>
  <c r="L77" i="10" s="1"/>
  <c r="M77" i="10" s="1"/>
  <c r="L299" i="8"/>
  <c r="M299" i="8" s="1"/>
  <c r="H299" i="10"/>
  <c r="K299" i="10" s="1"/>
  <c r="L299" i="10" s="1"/>
  <c r="M299" i="10" s="1"/>
  <c r="L173" i="8"/>
  <c r="M173" i="8" s="1"/>
  <c r="H173" i="10"/>
  <c r="K173" i="10" s="1"/>
  <c r="L173" i="10" s="1"/>
  <c r="M173" i="10" s="1"/>
  <c r="L325" i="8"/>
  <c r="M325" i="8" s="1"/>
  <c r="H325" i="10"/>
  <c r="K325" i="10" s="1"/>
  <c r="L325" i="10" s="1"/>
  <c r="M325" i="10" s="1"/>
  <c r="L162" i="8"/>
  <c r="M162" i="8" s="1"/>
  <c r="H162" i="10"/>
  <c r="L263" i="8"/>
  <c r="M263" i="8" s="1"/>
  <c r="H263" i="10"/>
  <c r="K263" i="10" s="1"/>
  <c r="L263" i="10" s="1"/>
  <c r="M263" i="10" s="1"/>
  <c r="L111" i="8"/>
  <c r="M111" i="8" s="1"/>
  <c r="H111" i="10"/>
  <c r="K111" i="10" s="1"/>
  <c r="L111" i="10" s="1"/>
  <c r="M111" i="10" s="1"/>
  <c r="L68" i="8"/>
  <c r="M68" i="8" s="1"/>
  <c r="H68" i="10"/>
  <c r="K68" i="10" s="1"/>
  <c r="L68" i="10" s="1"/>
  <c r="M68" i="10" s="1"/>
  <c r="L276" i="8"/>
  <c r="M276" i="8" s="1"/>
  <c r="H276" i="10"/>
  <c r="K276" i="10" s="1"/>
  <c r="L276" i="10" s="1"/>
  <c r="M276" i="10" s="1"/>
  <c r="L75" i="8"/>
  <c r="M75" i="8" s="1"/>
  <c r="H75" i="10"/>
  <c r="K75" i="10" s="1"/>
  <c r="L75" i="10" s="1"/>
  <c r="M75" i="10" s="1"/>
  <c r="L110" i="8"/>
  <c r="M110" i="8" s="1"/>
  <c r="H110" i="10"/>
  <c r="K110" i="10" s="1"/>
  <c r="L110" i="10" s="1"/>
  <c r="M110" i="10" s="1"/>
  <c r="L140" i="8"/>
  <c r="M140" i="8" s="1"/>
  <c r="H140" i="10"/>
  <c r="K140" i="10" s="1"/>
  <c r="L140" i="10" s="1"/>
  <c r="M140" i="10" s="1"/>
  <c r="L241" i="8"/>
  <c r="M241" i="8" s="1"/>
  <c r="H241" i="10"/>
  <c r="K241" i="10" s="1"/>
  <c r="L241" i="10" s="1"/>
  <c r="M241" i="10" s="1"/>
  <c r="L138" i="8"/>
  <c r="M138" i="8" s="1"/>
  <c r="H138" i="10"/>
  <c r="K138" i="10" s="1"/>
  <c r="L138" i="10" s="1"/>
  <c r="M138" i="10" s="1"/>
  <c r="L334" i="8"/>
  <c r="M334" i="8" s="1"/>
  <c r="H334" i="10"/>
  <c r="K334" i="10" s="1"/>
  <c r="L334" i="10" s="1"/>
  <c r="M334" i="10" s="1"/>
  <c r="L133" i="8"/>
  <c r="M133" i="8" s="1"/>
  <c r="H133" i="10"/>
  <c r="K133" i="10" s="1"/>
  <c r="L133" i="10" s="1"/>
  <c r="M133" i="10" s="1"/>
  <c r="L294" i="8"/>
  <c r="M294" i="8" s="1"/>
  <c r="H294" i="10"/>
  <c r="K294" i="10" s="1"/>
  <c r="L294" i="10" s="1"/>
  <c r="M294" i="10" s="1"/>
  <c r="L251" i="8"/>
  <c r="M251" i="8" s="1"/>
  <c r="H251" i="10"/>
  <c r="K251" i="10" s="1"/>
  <c r="L251" i="10" s="1"/>
  <c r="M251" i="10" s="1"/>
  <c r="L195" i="8"/>
  <c r="M195" i="8" s="1"/>
  <c r="H195" i="10"/>
  <c r="K195" i="10" s="1"/>
  <c r="L195" i="10" s="1"/>
  <c r="M195" i="10" s="1"/>
  <c r="L156" i="8"/>
  <c r="M156" i="8" s="1"/>
  <c r="H156" i="10"/>
  <c r="K156" i="10" s="1"/>
  <c r="L156" i="10" s="1"/>
  <c r="M156" i="10" s="1"/>
  <c r="L121" i="8"/>
  <c r="M121" i="8" s="1"/>
  <c r="H121" i="10"/>
  <c r="K121" i="10" s="1"/>
  <c r="L121" i="10" s="1"/>
  <c r="M121" i="10" s="1"/>
  <c r="L30" i="8"/>
  <c r="M30" i="8" s="1"/>
  <c r="H30" i="10"/>
  <c r="K30" i="10" s="1"/>
  <c r="L30" i="10" s="1"/>
  <c r="M30" i="10" s="1"/>
  <c r="L134" i="8"/>
  <c r="M134" i="8" s="1"/>
  <c r="H134" i="10"/>
  <c r="K134" i="10" s="1"/>
  <c r="L134" i="10" s="1"/>
  <c r="M134" i="10" s="1"/>
  <c r="L271" i="8"/>
  <c r="M271" i="8" s="1"/>
  <c r="H271" i="10"/>
  <c r="K271" i="10" s="1"/>
  <c r="L271" i="10" s="1"/>
  <c r="M271" i="10" s="1"/>
  <c r="L58" i="8"/>
  <c r="M58" i="8" s="1"/>
  <c r="H58" i="10"/>
  <c r="K58" i="10" s="1"/>
  <c r="L58" i="10" s="1"/>
  <c r="M58" i="10" s="1"/>
  <c r="L322" i="8"/>
  <c r="M322" i="8" s="1"/>
  <c r="H322" i="10"/>
  <c r="K322" i="10" s="1"/>
  <c r="L322" i="10" s="1"/>
  <c r="M322" i="10" s="1"/>
  <c r="L219" i="8"/>
  <c r="M219" i="8" s="1"/>
  <c r="H219" i="10"/>
  <c r="K219" i="10" s="1"/>
  <c r="L219" i="10" s="1"/>
  <c r="M219" i="10" s="1"/>
  <c r="L55" i="8"/>
  <c r="M55" i="8" s="1"/>
  <c r="H55" i="10"/>
  <c r="K55" i="10" s="1"/>
  <c r="L55" i="10" s="1"/>
  <c r="M55" i="10" s="1"/>
  <c r="L261" i="8"/>
  <c r="M261" i="8" s="1"/>
  <c r="H261" i="10"/>
  <c r="K261" i="10" s="1"/>
  <c r="L261" i="10" s="1"/>
  <c r="M261" i="10" s="1"/>
  <c r="L328" i="8"/>
  <c r="M328" i="8" s="1"/>
  <c r="H328" i="10"/>
  <c r="K328" i="10" s="1"/>
  <c r="L328" i="10" s="1"/>
  <c r="M328" i="10" s="1"/>
  <c r="L260" i="8"/>
  <c r="M260" i="8" s="1"/>
  <c r="H260" i="10"/>
  <c r="K260" i="10" s="1"/>
  <c r="L260" i="10" s="1"/>
  <c r="M260" i="10" s="1"/>
  <c r="L51" i="8"/>
  <c r="M51" i="8" s="1"/>
  <c r="H51" i="10"/>
  <c r="K51" i="10" s="1"/>
  <c r="L51" i="10" s="1"/>
  <c r="M51" i="10" s="1"/>
  <c r="L266" i="8"/>
  <c r="M266" i="8" s="1"/>
  <c r="H266" i="10"/>
  <c r="K266" i="10" s="1"/>
  <c r="L266" i="10" s="1"/>
  <c r="M266" i="10" s="1"/>
  <c r="L145" i="8"/>
  <c r="M145" i="8" s="1"/>
  <c r="H145" i="10"/>
  <c r="K145" i="10" s="1"/>
  <c r="L145" i="10" s="1"/>
  <c r="M145" i="10" s="1"/>
  <c r="L63" i="8"/>
  <c r="M63" i="8" s="1"/>
  <c r="H63" i="10"/>
  <c r="K63" i="10" s="1"/>
  <c r="L63" i="10" s="1"/>
  <c r="M63" i="10" s="1"/>
  <c r="L119" i="8"/>
  <c r="M119" i="8" s="1"/>
  <c r="H119" i="10"/>
  <c r="K119" i="10" s="1"/>
  <c r="L119" i="10" s="1"/>
  <c r="M119" i="10" s="1"/>
  <c r="L117" i="8"/>
  <c r="M117" i="8" s="1"/>
  <c r="H117" i="10"/>
  <c r="K117" i="10" s="1"/>
  <c r="L117" i="10" s="1"/>
  <c r="M117" i="10" s="1"/>
  <c r="L150" i="8"/>
  <c r="M150" i="8" s="1"/>
  <c r="H150" i="10"/>
  <c r="K150" i="10" s="1"/>
  <c r="L150" i="10" s="1"/>
  <c r="M150" i="10" s="1"/>
  <c r="L221" i="8"/>
  <c r="M221" i="8" s="1"/>
  <c r="H221" i="10"/>
  <c r="K221" i="10" s="1"/>
  <c r="L221" i="10" s="1"/>
  <c r="M221" i="10" s="1"/>
  <c r="L225" i="8"/>
  <c r="M225" i="8" s="1"/>
  <c r="H225" i="10"/>
  <c r="K225" i="10" s="1"/>
  <c r="L225" i="10" s="1"/>
  <c r="M225" i="10" s="1"/>
  <c r="L302" i="8"/>
  <c r="M302" i="8" s="1"/>
  <c r="H302" i="10"/>
  <c r="K302" i="10" s="1"/>
  <c r="L302" i="10" s="1"/>
  <c r="M302" i="10" s="1"/>
  <c r="L316" i="8"/>
  <c r="M316" i="8" s="1"/>
  <c r="H316" i="10"/>
  <c r="K316" i="10" s="1"/>
  <c r="L316" i="10" s="1"/>
  <c r="M316" i="10" s="1"/>
  <c r="L317" i="8"/>
  <c r="M317" i="8" s="1"/>
  <c r="H317" i="10"/>
  <c r="K317" i="10" s="1"/>
  <c r="L317" i="10" s="1"/>
  <c r="M317" i="10" s="1"/>
  <c r="L312" i="8"/>
  <c r="M312" i="8" s="1"/>
  <c r="H312" i="10"/>
  <c r="K312" i="10" s="1"/>
  <c r="L312" i="10" s="1"/>
  <c r="M312" i="10" s="1"/>
  <c r="L183" i="8"/>
  <c r="M183" i="8" s="1"/>
  <c r="H183" i="10"/>
  <c r="K183" i="10" s="1"/>
  <c r="L183" i="10" s="1"/>
  <c r="M183" i="10" s="1"/>
  <c r="L273" i="8"/>
  <c r="M273" i="8" s="1"/>
  <c r="H273" i="10"/>
  <c r="K273" i="10" s="1"/>
  <c r="L273" i="10" s="1"/>
  <c r="M273" i="10" s="1"/>
  <c r="L189" i="8"/>
  <c r="M189" i="8" s="1"/>
  <c r="H189" i="10"/>
  <c r="K189" i="10" s="1"/>
  <c r="L189" i="10" s="1"/>
  <c r="M189" i="10" s="1"/>
  <c r="L149" i="8"/>
  <c r="M149" i="8" s="1"/>
  <c r="H149" i="10"/>
  <c r="K149" i="10" s="1"/>
  <c r="L149" i="10" s="1"/>
  <c r="M149" i="10" s="1"/>
  <c r="L329" i="8"/>
  <c r="M329" i="8" s="1"/>
  <c r="H329" i="10"/>
  <c r="K329" i="10" s="1"/>
  <c r="L329" i="10" s="1"/>
  <c r="M329" i="10" s="1"/>
  <c r="L11" i="8"/>
  <c r="M11" i="8" s="1"/>
  <c r="H11" i="10"/>
  <c r="K11" i="10" s="1"/>
  <c r="L11" i="10" s="1"/>
  <c r="M11" i="10" s="1"/>
  <c r="L304" i="8"/>
  <c r="M304" i="8" s="1"/>
  <c r="H304" i="10"/>
  <c r="K304" i="10" s="1"/>
  <c r="L304" i="10" s="1"/>
  <c r="M304" i="10" s="1"/>
  <c r="L36" i="8"/>
  <c r="M36" i="8" s="1"/>
  <c r="H36" i="10"/>
  <c r="K36" i="10" s="1"/>
  <c r="L36" i="10" s="1"/>
  <c r="M36" i="10" s="1"/>
  <c r="L315" i="8"/>
  <c r="M315" i="8" s="1"/>
  <c r="H315" i="10"/>
  <c r="K315" i="10" s="1"/>
  <c r="L315" i="10" s="1"/>
  <c r="M315" i="10" s="1"/>
  <c r="L230" i="8"/>
  <c r="M230" i="8" s="1"/>
  <c r="H230" i="10"/>
  <c r="K230" i="10" s="1"/>
  <c r="L230" i="10" s="1"/>
  <c r="M230" i="10" s="1"/>
  <c r="Y10" i="9"/>
  <c r="O338" i="8"/>
  <c r="O336" i="8"/>
  <c r="I341" i="8"/>
  <c r="I338" i="8"/>
  <c r="I336" i="8"/>
  <c r="I340" i="8"/>
  <c r="J10" i="8"/>
  <c r="I337" i="8"/>
  <c r="I339" i="8"/>
  <c r="X336" i="9" l="1"/>
  <c r="X341" i="9"/>
  <c r="X339" i="9"/>
  <c r="X337" i="9"/>
  <c r="X340" i="9"/>
  <c r="X338" i="9"/>
  <c r="K37" i="10"/>
  <c r="L37" i="10" s="1"/>
  <c r="M37" i="10" s="1"/>
  <c r="I336" i="10"/>
  <c r="I340" i="10"/>
  <c r="I338" i="10"/>
  <c r="I341" i="10"/>
  <c r="I339" i="10"/>
  <c r="Y336" i="9"/>
  <c r="Y338" i="9"/>
  <c r="Y337" i="9"/>
  <c r="Y339" i="9"/>
  <c r="J341" i="8"/>
  <c r="J336" i="8"/>
  <c r="J338" i="8"/>
  <c r="J340" i="8"/>
  <c r="J337" i="8"/>
  <c r="J339" i="8"/>
  <c r="K10" i="8"/>
  <c r="H10" i="10" s="1"/>
  <c r="H341" i="10" l="1"/>
  <c r="H337" i="10"/>
  <c r="H338" i="10"/>
  <c r="H340" i="10"/>
  <c r="H336" i="10"/>
  <c r="H339" i="10"/>
  <c r="K10" i="10"/>
  <c r="K337" i="8"/>
  <c r="K338" i="8"/>
  <c r="K341" i="8"/>
  <c r="K336" i="8"/>
  <c r="K340" i="8"/>
  <c r="L10" i="8"/>
  <c r="L341" i="8" s="1"/>
  <c r="K339" i="8"/>
  <c r="B11" i="7"/>
  <c r="L10" i="10" l="1"/>
  <c r="M10" i="10" s="1"/>
  <c r="K336" i="10"/>
  <c r="K341" i="10"/>
  <c r="K340" i="10"/>
  <c r="K337" i="10"/>
  <c r="K339" i="10"/>
  <c r="K338" i="10"/>
  <c r="L338" i="8"/>
  <c r="L336" i="8"/>
  <c r="L340" i="8"/>
  <c r="L337" i="8"/>
  <c r="M10" i="8"/>
  <c r="L339" i="8"/>
  <c r="C11" i="2"/>
  <c r="A7" i="2"/>
  <c r="C7" i="2"/>
  <c r="M336" i="8" l="1"/>
  <c r="M338" i="8"/>
  <c r="M339" i="8"/>
  <c r="M337" i="8"/>
  <c r="B12" i="2"/>
  <c r="D12" i="2" s="1"/>
  <c r="B11" i="2"/>
  <c r="B14" i="2"/>
  <c r="B17" i="2" s="1"/>
  <c r="B13" i="2"/>
  <c r="B12" i="7"/>
  <c r="C12" i="7"/>
  <c r="C11" i="4" s="1"/>
  <c r="B11" i="4"/>
  <c r="C7" i="6"/>
  <c r="A7" i="6"/>
  <c r="C11" i="5"/>
  <c r="C7" i="5"/>
  <c r="A7" i="5"/>
  <c r="B14" i="5" s="1"/>
  <c r="C12" i="2" l="1"/>
  <c r="C13" i="2" s="1"/>
  <c r="C14" i="2" s="1"/>
  <c r="D14" i="5"/>
  <c r="B12" i="5"/>
  <c r="D12" i="5" s="1"/>
  <c r="C12" i="4"/>
  <c r="C7" i="4"/>
  <c r="A7" i="4"/>
  <c r="B27" i="4" s="1"/>
  <c r="B11" i="5"/>
  <c r="D11" i="5" s="1"/>
  <c r="E11" i="5" s="1"/>
  <c r="D21" i="4" l="1"/>
  <c r="D17" i="4"/>
  <c r="D13" i="4"/>
  <c r="E12" i="5"/>
  <c r="B13" i="5"/>
  <c r="C14" i="5"/>
  <c r="C15" i="5" s="1"/>
  <c r="E14" i="5"/>
  <c r="B15" i="5"/>
  <c r="B20" i="6" s="1"/>
  <c r="B12" i="4"/>
  <c r="D12" i="4" s="1"/>
  <c r="E12" i="4" s="1"/>
  <c r="B17" i="4"/>
  <c r="B23" i="4"/>
  <c r="B21" i="4"/>
  <c r="B25" i="4"/>
  <c r="D25" i="4" s="1"/>
  <c r="D11" i="4"/>
  <c r="E11" i="4" s="1"/>
  <c r="B13" i="4"/>
  <c r="B15" i="4"/>
  <c r="B19" i="4"/>
  <c r="B15" i="2"/>
  <c r="B11" i="6" s="1"/>
  <c r="D15" i="5" l="1"/>
  <c r="E15" i="5" s="1"/>
  <c r="C20" i="6"/>
  <c r="D20" i="6" s="1"/>
  <c r="E20" i="6" s="1"/>
  <c r="B17" i="5"/>
  <c r="B19" i="6"/>
  <c r="B21" i="6" s="1"/>
  <c r="C12" i="5"/>
  <c r="C13" i="5" s="1"/>
  <c r="E13" i="4"/>
  <c r="C17" i="4"/>
  <c r="C18" i="4" s="1"/>
  <c r="E17" i="4"/>
  <c r="C21" i="4"/>
  <c r="C22" i="4" s="1"/>
  <c r="E21" i="4"/>
  <c r="B22" i="4"/>
  <c r="B18" i="4"/>
  <c r="B14" i="4"/>
  <c r="C13" i="4"/>
  <c r="C14" i="4" s="1"/>
  <c r="B26" i="4"/>
  <c r="E12" i="2"/>
  <c r="D11" i="2"/>
  <c r="E11" i="2" s="1"/>
  <c r="B16" i="4" l="1"/>
  <c r="B13" i="6" s="1"/>
  <c r="C15" i="4"/>
  <c r="C19" i="4"/>
  <c r="B24" i="4"/>
  <c r="B15" i="6" s="1"/>
  <c r="C23" i="4"/>
  <c r="C24" i="4" s="1"/>
  <c r="C15" i="6" s="1"/>
  <c r="D15" i="6" s="1"/>
  <c r="E15" i="6" s="1"/>
  <c r="D19" i="4"/>
  <c r="E19" i="4" s="1"/>
  <c r="C17" i="2"/>
  <c r="D13" i="5"/>
  <c r="C19" i="6"/>
  <c r="C17" i="5"/>
  <c r="D14" i="4"/>
  <c r="E14" i="4" s="1"/>
  <c r="D22" i="4"/>
  <c r="E22" i="4" s="1"/>
  <c r="D18" i="4"/>
  <c r="E18" i="4" s="1"/>
  <c r="B20" i="4"/>
  <c r="B14" i="6" s="1"/>
  <c r="C25" i="4"/>
  <c r="C26" i="4" s="1"/>
  <c r="C27" i="4" s="1"/>
  <c r="E25" i="4"/>
  <c r="B28" i="4"/>
  <c r="B16" i="6" s="1"/>
  <c r="D13" i="2"/>
  <c r="E13" i="2" s="1"/>
  <c r="D23" i="4" l="1"/>
  <c r="E23" i="4" s="1"/>
  <c r="D14" i="2"/>
  <c r="E14" i="2" s="1"/>
  <c r="B17" i="6"/>
  <c r="B23" i="6" s="1"/>
  <c r="D27" i="4"/>
  <c r="E27" i="4" s="1"/>
  <c r="D19" i="6"/>
  <c r="E19" i="6" s="1"/>
  <c r="C21" i="6"/>
  <c r="D21" i="6" s="1"/>
  <c r="E21" i="6" s="1"/>
  <c r="E13" i="5"/>
  <c r="D17" i="5"/>
  <c r="E17" i="5" s="1"/>
  <c r="D20" i="4"/>
  <c r="E20" i="4" s="1"/>
  <c r="B30" i="4"/>
  <c r="C20" i="4"/>
  <c r="C14" i="6" s="1"/>
  <c r="D14" i="6" s="1"/>
  <c r="E14" i="6" s="1"/>
  <c r="D24" i="4"/>
  <c r="E24" i="4" s="1"/>
  <c r="C16" i="4"/>
  <c r="D15" i="4"/>
  <c r="E15" i="4" s="1"/>
  <c r="C15" i="2"/>
  <c r="D26" i="4" l="1"/>
  <c r="E26" i="4" s="1"/>
  <c r="D16" i="4"/>
  <c r="E16" i="4" s="1"/>
  <c r="C13" i="6"/>
  <c r="D13" i="6" s="1"/>
  <c r="E13" i="6" s="1"/>
  <c r="D15" i="2"/>
  <c r="E15" i="2" s="1"/>
  <c r="C11" i="6"/>
  <c r="D11" i="6" s="1"/>
  <c r="E11" i="6" s="1"/>
  <c r="C28" i="4"/>
  <c r="C16" i="6" s="1"/>
  <c r="D16" i="6" s="1"/>
  <c r="E16" i="6" s="1"/>
  <c r="C17" i="6" l="1"/>
  <c r="D28" i="4"/>
  <c r="E28" i="4" s="1"/>
  <c r="C30" i="4"/>
  <c r="D30" i="4" s="1"/>
  <c r="E30" i="4" s="1"/>
  <c r="D17" i="6" l="1"/>
  <c r="E17" i="6" s="1"/>
  <c r="C23" i="6"/>
  <c r="D23" i="6" s="1"/>
  <c r="E23" i="6" s="1"/>
  <c r="L336" i="10"/>
  <c r="L337" i="10"/>
  <c r="L339" i="10"/>
  <c r="L341" i="10"/>
  <c r="L338" i="10"/>
  <c r="L340" i="10"/>
  <c r="M338" i="10"/>
  <c r="M336" i="10" l="1"/>
  <c r="M337" i="10"/>
  <c r="M339" i="10"/>
</calcChain>
</file>

<file path=xl/sharedStrings.xml><?xml version="1.0" encoding="utf-8"?>
<sst xmlns="http://schemas.openxmlformats.org/spreadsheetml/2006/main" count="1527" uniqueCount="457">
  <si>
    <t>AEA</t>
  </si>
  <si>
    <t>co</t>
  </si>
  <si>
    <t>Label</t>
  </si>
  <si>
    <t>AGWSR</t>
  </si>
  <si>
    <t>AHSTW</t>
  </si>
  <si>
    <t>Adair-Casey</t>
  </si>
  <si>
    <t>Adel-Desoto-Minburn</t>
  </si>
  <si>
    <t>Akron-Westfield</t>
  </si>
  <si>
    <t>Albert City-Truesdale</t>
  </si>
  <si>
    <t>Albia</t>
  </si>
  <si>
    <t>Alburnett</t>
  </si>
  <si>
    <t>Alden</t>
  </si>
  <si>
    <t>Algona</t>
  </si>
  <si>
    <t>Allamakee</t>
  </si>
  <si>
    <t>Alta-Aurelia</t>
  </si>
  <si>
    <t>Ames</t>
  </si>
  <si>
    <t>Anamosa</t>
  </si>
  <si>
    <t>Andrew</t>
  </si>
  <si>
    <t>Ankeny</t>
  </si>
  <si>
    <t>Aplington-Parkersburg</t>
  </si>
  <si>
    <t>Ar-We-Va</t>
  </si>
  <si>
    <t>Atlantic</t>
  </si>
  <si>
    <t>Audubon</t>
  </si>
  <si>
    <t>BCLUW</t>
  </si>
  <si>
    <t>Ballard</t>
  </si>
  <si>
    <t>Baxter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</si>
  <si>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</si>
  <si>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</si>
  <si>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</si>
  <si>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</si>
  <si>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</si>
  <si>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</si>
  <si>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</si>
  <si>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Bondurant-Farrar</t>
  </si>
  <si>
    <t>Boone</t>
  </si>
  <si>
    <t>Boyden-Hull</t>
  </si>
  <si>
    <t>Boyer Valley</t>
  </si>
  <si>
    <t>Brooklyn-Guernsey-Malcom</t>
  </si>
  <si>
    <t>Burlington</t>
  </si>
  <si>
    <t>CAL</t>
  </si>
  <si>
    <t>CAM</t>
  </si>
  <si>
    <t>Calamus-Wheatland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</si>
  <si>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</si>
  <si>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</si>
  <si>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</si>
  <si>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</si>
  <si>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</si>
  <si>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</si>
  <si>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</si>
  <si>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</si>
  <si>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City</t>
  </si>
  <si>
    <t>Central Clayton</t>
  </si>
  <si>
    <t>Central De Witt</t>
  </si>
  <si>
    <t>Central Decatur</t>
  </si>
  <si>
    <t>Central Lee</t>
  </si>
  <si>
    <t>Central Lyon</t>
  </si>
  <si>
    <t>Central Springs</t>
  </si>
  <si>
    <t>Chariton</t>
  </si>
  <si>
    <t>Charles City</t>
  </si>
  <si>
    <t>Charter Oak-Ute</t>
  </si>
  <si>
    <t>Cherokee</t>
  </si>
  <si>
    <t>Clarinda</t>
  </si>
  <si>
    <t>Clarion-Goldfield-Dows</t>
  </si>
  <si>
    <t>Clarke</t>
  </si>
  <si>
    <t>Clarksville</t>
  </si>
  <si>
    <t>Clay Central-Everly</t>
  </si>
  <si>
    <t>Clayton Ridge</t>
  </si>
  <si>
    <t>Clear Creek-Amana</t>
  </si>
  <si>
    <t>Clear Lake</t>
  </si>
  <si>
    <t>Clinton</t>
  </si>
  <si>
    <t>Colfax-Mingo</t>
  </si>
  <si>
    <t>College Community</t>
  </si>
  <si>
    <t>Collins-Maxwell</t>
  </si>
  <si>
    <t>Colo-Nesco</t>
  </si>
  <si>
    <t>Columbus</t>
  </si>
  <si>
    <t>Coon Rapids-Bayard</t>
  </si>
  <si>
    <t>Corning</t>
  </si>
  <si>
    <t>Council Bluffs</t>
  </si>
  <si>
    <t>Creston</t>
  </si>
  <si>
    <t>Dallas Center-Grimes</t>
  </si>
  <si>
    <t>Danville</t>
  </si>
  <si>
    <t>Davenport</t>
  </si>
  <si>
    <t>Davis County</t>
  </si>
  <si>
    <t>Decorah</t>
  </si>
  <si>
    <t>Delwood</t>
  </si>
  <si>
    <t>Denison</t>
  </si>
  <si>
    <t>Denver</t>
  </si>
  <si>
    <t>Des Moines</t>
  </si>
  <si>
    <t>Diagonal</t>
  </si>
  <si>
    <t>Dike-New Hartford</t>
  </si>
  <si>
    <t>Dubuque</t>
  </si>
  <si>
    <t>Dunkerton</t>
  </si>
  <si>
    <t>Durant</t>
  </si>
  <si>
    <t>Eagle Grove</t>
  </si>
  <si>
    <t>Earlham</t>
  </si>
  <si>
    <t>East Buchanan</t>
  </si>
  <si>
    <t>East Marshall</t>
  </si>
  <si>
    <t>East Mills</t>
  </si>
  <si>
    <t>East Sac County</t>
  </si>
  <si>
    <t>East Union</t>
  </si>
  <si>
    <t>Eastern Allamakee</t>
  </si>
  <si>
    <t>Easton Valley</t>
  </si>
  <si>
    <t>Eddyville-Blakesburg-Fremont</t>
  </si>
  <si>
    <t>Edgewood-Colesburg</t>
  </si>
  <si>
    <t>Eldora-New Providence</t>
  </si>
  <si>
    <t>Emmetsburg</t>
  </si>
  <si>
    <t>English Valleys</t>
  </si>
  <si>
    <t>Essex</t>
  </si>
  <si>
    <t>Estherville-Lincoln Central</t>
  </si>
  <si>
    <t>Exira-Elk Horn-Kimballton</t>
  </si>
  <si>
    <t>Fairfield</t>
  </si>
  <si>
    <t>Forest City</t>
  </si>
  <si>
    <t>Fort Dodge</t>
  </si>
  <si>
    <t>Fort Madison</t>
  </si>
  <si>
    <t>Fremont-Mills</t>
  </si>
  <si>
    <t>GMG</t>
  </si>
  <si>
    <t>Galva-Holstein</t>
  </si>
  <si>
    <t>Garner-Hayfield-Ventura</t>
  </si>
  <si>
    <t>George-Little Rock</t>
  </si>
  <si>
    <t>Gilbert</t>
  </si>
  <si>
    <t>Gilmore City-Bradgate</t>
  </si>
  <si>
    <t>Gladbrook-Reinbeck</t>
  </si>
  <si>
    <t>Glenwood</t>
  </si>
  <si>
    <t>Glidden-Ralston</t>
  </si>
  <si>
    <t>Graettinger-Terril</t>
  </si>
  <si>
    <t>Greene County</t>
  </si>
  <si>
    <t>Grinnell-Newburg</t>
  </si>
  <si>
    <t>Griswold</t>
  </si>
  <si>
    <t>Grundy Center</t>
  </si>
  <si>
    <t>Guthrie Center</t>
  </si>
  <si>
    <t>HLV</t>
  </si>
  <si>
    <t>Hamburg</t>
  </si>
  <si>
    <t>Hampton-Dumont</t>
  </si>
  <si>
    <t>Harlan</t>
  </si>
  <si>
    <t>Harris-Lake Park</t>
  </si>
  <si>
    <t>Hartley-Melvin-Sanborn</t>
  </si>
  <si>
    <t>Highland</t>
  </si>
  <si>
    <t>Hinton</t>
  </si>
  <si>
    <t>Howard-Winneshiek</t>
  </si>
  <si>
    <t>Hubbard-Radcliffe</t>
  </si>
  <si>
    <t>Hudson</t>
  </si>
  <si>
    <t>Humboldt</t>
  </si>
  <si>
    <t>IKM-Manning</t>
  </si>
  <si>
    <t>Independence</t>
  </si>
  <si>
    <t>Indianola</t>
  </si>
  <si>
    <t>Interstate 35</t>
  </si>
  <si>
    <t>Iowa City</t>
  </si>
  <si>
    <t>Iowa Falls</t>
  </si>
  <si>
    <t>Iowa Valley</t>
  </si>
  <si>
    <t>Janesville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</si>
  <si>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</si>
  <si>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</si>
  <si>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</si>
  <si>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</si>
  <si>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</si>
  <si>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</si>
  <si>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</si>
  <si>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</si>
  <si>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</si>
  <si>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</si>
  <si>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Le Mars</t>
  </si>
  <si>
    <t>Lenox</t>
  </si>
  <si>
    <t>Lewis Central</t>
  </si>
  <si>
    <t>Linn-Mar</t>
  </si>
  <si>
    <t>Lisbon</t>
  </si>
  <si>
    <t>Logan-Magnolia</t>
  </si>
  <si>
    <t>Lone Tree</t>
  </si>
  <si>
    <t>Louisa-Muscatine</t>
  </si>
  <si>
    <t>Lynnville-Sully</t>
  </si>
  <si>
    <t>MFL Mar Mac</t>
  </si>
  <si>
    <t>Madrid</t>
  </si>
  <si>
    <t>Manson-Northwest Webster</t>
  </si>
  <si>
    <t>Maple Valley-Anthon Oto</t>
  </si>
  <si>
    <t>Maquoketa</t>
  </si>
  <si>
    <t>Maquoketa Valley</t>
  </si>
  <si>
    <t>Marcus-Meriden Cleghorn</t>
  </si>
  <si>
    <t>Marion</t>
  </si>
  <si>
    <t>Marshalltown</t>
  </si>
  <si>
    <t>Martensdale-St Marys</t>
  </si>
  <si>
    <t>Mason City</t>
  </si>
  <si>
    <t>Mediapolis</t>
  </si>
  <si>
    <t>Melcher-Dallas</t>
  </si>
  <si>
    <t>Mid-Prairie</t>
  </si>
  <si>
    <t>Midland</t>
  </si>
  <si>
    <t>Missouri Valley</t>
  </si>
  <si>
    <t>Moc-Floyd Valley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</si>
  <si>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</si>
  <si>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</si>
  <si>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</si>
  <si>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</si>
  <si>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</si>
  <si>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</si>
  <si>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</si>
  <si>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</si>
  <si>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</si>
  <si>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</si>
  <si>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</si>
  <si>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</si>
  <si>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</si>
  <si>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 Hampton</t>
  </si>
  <si>
    <t>New London</t>
  </si>
  <si>
    <t>Newell-Fonda</t>
  </si>
  <si>
    <t>Newton</t>
  </si>
  <si>
    <t>Nodaway Valley</t>
  </si>
  <si>
    <t>North Butler</t>
  </si>
  <si>
    <t>North Cedar</t>
  </si>
  <si>
    <t>North Fayette Valley</t>
  </si>
  <si>
    <t>North Iowa</t>
  </si>
  <si>
    <t>North Kossuth</t>
  </si>
  <si>
    <t>North Linn</t>
  </si>
  <si>
    <t>North Mahaska</t>
  </si>
  <si>
    <t>North Polk</t>
  </si>
  <si>
    <t>North Scott</t>
  </si>
  <si>
    <t>North Tama</t>
  </si>
  <si>
    <t>North Union</t>
  </si>
  <si>
    <t>Northeast</t>
  </si>
  <si>
    <t>Northwood-Kensett</t>
  </si>
  <si>
    <t>Norwalk</t>
  </si>
  <si>
    <t>Odebolt Arthur Battle Creek Ida Grove</t>
  </si>
  <si>
    <t>Oelwein</t>
  </si>
  <si>
    <t>Ogden</t>
  </si>
  <si>
    <t>Okoboji</t>
  </si>
  <si>
    <t>Olin</t>
  </si>
  <si>
    <t>Orient-Macksburg</t>
  </si>
  <si>
    <t>Osage</t>
  </si>
  <si>
    <t>Oskaloosa</t>
  </si>
  <si>
    <t>Ottumwa</t>
  </si>
  <si>
    <t>PCM</t>
  </si>
  <si>
    <t>Panorama</t>
  </si>
  <si>
    <t>Paton-Churdan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</si>
  <si>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</si>
  <si>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</si>
  <si>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</si>
  <si>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</si>
  <si>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</si>
  <si>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</si>
  <si>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</si>
  <si>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Red Oak</t>
  </si>
  <si>
    <t>Remsen-Union</t>
  </si>
  <si>
    <t>Riceville</t>
  </si>
  <si>
    <t>River Valley</t>
  </si>
  <si>
    <t>Riverside</t>
  </si>
  <si>
    <t>Rock Valley</t>
  </si>
  <si>
    <t>Roland-Story</t>
  </si>
  <si>
    <t>Rudd-Rockford-Marble Rock</t>
  </si>
  <si>
    <t>Ruthven-Ayrshire</t>
  </si>
  <si>
    <t>Saydel</t>
  </si>
  <si>
    <t>Schaller-Crestland</t>
  </si>
  <si>
    <t>Schleswig</t>
  </si>
  <si>
    <t>Sergeant Bluff-Luton</t>
  </si>
  <si>
    <t>Seymour</t>
  </si>
  <si>
    <t>Sheldon</t>
  </si>
  <si>
    <t>Shenandoah</t>
  </si>
  <si>
    <t>Sibley-Ocheyedan</t>
  </si>
  <si>
    <t>Sidney</t>
  </si>
  <si>
    <t>Sigourney</t>
  </si>
  <si>
    <t>Sioux Center</t>
  </si>
  <si>
    <t>Sioux Central</t>
  </si>
  <si>
    <t>Sioux City</t>
  </si>
  <si>
    <t>Solon</t>
  </si>
  <si>
    <t>South Central Calhoun</t>
  </si>
  <si>
    <t>South Hamilton</t>
  </si>
  <si>
    <t>South O'Brien</t>
  </si>
  <si>
    <t>South Page</t>
  </si>
  <si>
    <t>South Tama</t>
  </si>
  <si>
    <t>South Winneshiek</t>
  </si>
  <si>
    <t>Southeast Polk</t>
  </si>
  <si>
    <t>Southeast Valley</t>
  </si>
  <si>
    <t>Southeast Warren</t>
  </si>
  <si>
    <t>Spencer</t>
  </si>
  <si>
    <t>Spirit Lake</t>
  </si>
  <si>
    <t>Springville</t>
  </si>
  <si>
    <t>St Ansgar</t>
  </si>
  <si>
    <t>Stanton</t>
  </si>
  <si>
    <t>Starmont</t>
  </si>
  <si>
    <t>Storm Lake</t>
  </si>
  <si>
    <t>Stratford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</si>
  <si>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</si>
  <si>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</si>
  <si>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</si>
  <si>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</si>
  <si>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</si>
  <si>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</si>
  <si>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</si>
  <si>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</si>
  <si>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</si>
  <si>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</si>
  <si>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Union</t>
  </si>
  <si>
    <t>United</t>
  </si>
  <si>
    <t>Urbandale</t>
  </si>
  <si>
    <t>Van Buren County</t>
  </si>
  <si>
    <t>Van Meter</t>
  </si>
  <si>
    <t>Villisca</t>
  </si>
  <si>
    <t>Vinton-Shellsburg</t>
  </si>
  <si>
    <t>Waco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</si>
  <si>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</si>
  <si>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</si>
  <si>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</si>
  <si>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</si>
  <si>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</si>
  <si>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</si>
  <si>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</si>
  <si>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</si>
  <si>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</si>
  <si>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</si>
  <si>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</t>
  </si>
  <si>
    <t>West Central</t>
  </si>
  <si>
    <t>West Central Valley</t>
  </si>
  <si>
    <t>West Delaware Co</t>
  </si>
  <si>
    <t>West Des Moines</t>
  </si>
  <si>
    <t>West Fork</t>
  </si>
  <si>
    <t>West Hancock</t>
  </si>
  <si>
    <t>West Harrison</t>
  </si>
  <si>
    <t>West Liberty</t>
  </si>
  <si>
    <t>West Lyon</t>
  </si>
  <si>
    <t>West Marshall</t>
  </si>
  <si>
    <t>West Monona</t>
  </si>
  <si>
    <t>West Sioux</t>
  </si>
  <si>
    <t>Western Dubuque Co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</si>
  <si>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</si>
  <si>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</si>
  <si>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</si>
  <si>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</si>
  <si>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</si>
  <si>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</si>
  <si>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</si>
  <si>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</si>
  <si>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</si>
  <si>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Report Totals</t>
  </si>
  <si>
    <t>FY2026 Budget Enrollment</t>
  </si>
  <si>
    <t>.</t>
  </si>
  <si>
    <t>FY26 RPDC Per Student</t>
  </si>
  <si>
    <t>FY2026 TSS</t>
  </si>
  <si>
    <t>FY2026 PD</t>
  </si>
  <si>
    <t>FY2026 Early Intervention</t>
  </si>
  <si>
    <t>FY2026 TLC</t>
  </si>
  <si>
    <t>Select School District:</t>
  </si>
  <si>
    <t>Select SSA Rate:</t>
  </si>
  <si>
    <t>FY 2026</t>
  </si>
  <si>
    <t>Change</t>
  </si>
  <si>
    <t>Percent Change</t>
  </si>
  <si>
    <t>Budget Enrollment</t>
  </si>
  <si>
    <t>District Cost Per Pupil</t>
  </si>
  <si>
    <t>Regular Program District Cost</t>
  </si>
  <si>
    <t>Budget Guarantee</t>
  </si>
  <si>
    <t>Regular Program District Cost w/Adjustment</t>
  </si>
  <si>
    <t>Budget Guarantee Est. Property Tax Rate Impact*</t>
  </si>
  <si>
    <t>per thousand</t>
  </si>
  <si>
    <t>FY 2027</t>
  </si>
  <si>
    <t>FY2026 RPDC Total</t>
  </si>
  <si>
    <t>FY2026 ESA</t>
  </si>
  <si>
    <t>Categorical Enrollment</t>
  </si>
  <si>
    <t>ESA Students</t>
  </si>
  <si>
    <t>FY2026 RPDC Budget Guarantee</t>
  </si>
  <si>
    <t>FY2026 TSS Budget Guarantee</t>
  </si>
  <si>
    <t>FY2026 PD Budget Guarantee</t>
  </si>
  <si>
    <t>FY2026 Early Intervention Budget Guarantee</t>
  </si>
  <si>
    <t>FY2026 TLC Budget Gurantee</t>
  </si>
  <si>
    <t>Teacher Salary Supplement District Cost</t>
  </si>
  <si>
    <t>Professional Development District Cost</t>
  </si>
  <si>
    <t>Early Intervention District Cost</t>
  </si>
  <si>
    <t>Teacher Leadership and Compensation District Cost</t>
  </si>
  <si>
    <t>Teacher Salary Supplement District Cost Per Student</t>
  </si>
  <si>
    <t>Teacher Salary Supplement With Guarantee</t>
  </si>
  <si>
    <t>Professional Development District Cost Per Student</t>
  </si>
  <si>
    <t>Professional Development With Guarantee</t>
  </si>
  <si>
    <t>Early Intervention District Cost Per Student</t>
  </si>
  <si>
    <t>Early Intervention with Budget Guarantee</t>
  </si>
  <si>
    <t>Teacher Leadership and Compensation District Cost Per Student</t>
  </si>
  <si>
    <t>FY2026</t>
  </si>
  <si>
    <t>FY2027</t>
  </si>
  <si>
    <t>Change Percent</t>
  </si>
  <si>
    <t>Selected School District:</t>
  </si>
  <si>
    <t>Selected SSA Rate:</t>
  </si>
  <si>
    <t>FY2026 Media Services</t>
  </si>
  <si>
    <t xml:space="preserve">.  </t>
  </si>
  <si>
    <t>FY2026 Ed Services</t>
  </si>
  <si>
    <t>FY2026 Property Valuation With TIF</t>
  </si>
  <si>
    <t>FY2026 Valuation</t>
  </si>
  <si>
    <t>Categorical Amounts</t>
  </si>
  <si>
    <t>Teacher Salary Supplement Budget Guarantee</t>
  </si>
  <si>
    <t>Professional Development Budget Guarantee</t>
  </si>
  <si>
    <t>Early Intervention Budget Guarantee</t>
  </si>
  <si>
    <t>Teacher Leadership and Compensation Budget Guarantee</t>
  </si>
  <si>
    <t>Teacher Leadership and Compensation with Budget Guarantee</t>
  </si>
  <si>
    <t>Educational Services Cost per Pupil</t>
  </si>
  <si>
    <t>Educational Services Total</t>
  </si>
  <si>
    <t>Media Services Cost per Pupil</t>
  </si>
  <si>
    <t>Media Services Total</t>
  </si>
  <si>
    <t>Media and Ed Services District Cost</t>
  </si>
  <si>
    <t>Total Amounts</t>
  </si>
  <si>
    <t>Budget Enrollment*</t>
  </si>
  <si>
    <t>Note.</t>
  </si>
  <si>
    <t>Totals</t>
  </si>
  <si>
    <t>Total Categoricals</t>
  </si>
  <si>
    <t>Media and Ed Services Total</t>
  </si>
  <si>
    <t>Grand Total of RPDC, Categoricals, and Media and Ed Services</t>
  </si>
  <si>
    <t>© ISFIS 2025</t>
  </si>
  <si>
    <t>Assumptions and set up</t>
  </si>
  <si>
    <t>Instructions</t>
  </si>
  <si>
    <t>FY2027 ISFIS Regular Program New Authority Calculator</t>
  </si>
  <si>
    <t>Notes</t>
  </si>
  <si>
    <r>
      <t>Regular Program District Cost (</t>
    </r>
    <r>
      <rPr>
        <b/>
        <sz val="14"/>
        <color theme="1"/>
        <rFont val="Calibri"/>
        <family val="2"/>
        <scheme val="minor"/>
      </rPr>
      <t>RPDC</t>
    </r>
    <r>
      <rPr>
        <sz val="14"/>
        <color theme="1"/>
        <rFont val="Calibri"/>
        <family val="2"/>
        <scheme val="minor"/>
      </rPr>
      <t xml:space="preserve"> tab) is calculated based on budget enrollment and SSA assumptions</t>
    </r>
  </si>
  <si>
    <r>
      <t>The</t>
    </r>
    <r>
      <rPr>
        <b/>
        <sz val="14"/>
        <color theme="1"/>
        <rFont val="Calibri"/>
        <family val="2"/>
        <scheme val="minor"/>
      </rPr>
      <t xml:space="preserve"> Categorical</t>
    </r>
    <r>
      <rPr>
        <sz val="14"/>
        <color theme="1"/>
        <rFont val="Calibri"/>
        <family val="2"/>
        <scheme val="minor"/>
      </rPr>
      <t xml:space="preserve"> tab calculates changes to categorical funding based on SSA, budget enrollment, and ESA student assumptions</t>
    </r>
  </si>
  <si>
    <r>
      <t xml:space="preserve">The </t>
    </r>
    <r>
      <rPr>
        <b/>
        <sz val="14"/>
        <color theme="1"/>
        <rFont val="Calibri"/>
        <family val="2"/>
        <scheme val="minor"/>
      </rPr>
      <t>Media Services and Ed Services</t>
    </r>
    <r>
      <rPr>
        <sz val="14"/>
        <color theme="1"/>
        <rFont val="Calibri"/>
        <family val="2"/>
        <scheme val="minor"/>
      </rPr>
      <t xml:space="preserve"> tab calculates changes based budget enrollment and SSA assumptions</t>
    </r>
  </si>
  <si>
    <r>
      <t xml:space="preserve">The </t>
    </r>
    <r>
      <rPr>
        <b/>
        <sz val="14"/>
        <color theme="1"/>
        <rFont val="Calibri"/>
        <family val="2"/>
        <scheme val="minor"/>
      </rPr>
      <t>Totals</t>
    </r>
    <r>
      <rPr>
        <sz val="14"/>
        <color theme="1"/>
        <rFont val="Calibri"/>
        <family val="2"/>
        <scheme val="minor"/>
      </rPr>
      <t xml:space="preserve"> tab shows a total of all changes</t>
    </r>
  </si>
  <si>
    <t>In general: Make Changes in Yellow Boxes, on this tab only</t>
  </si>
  <si>
    <t>On the Aid and Levy, Media and Ed services calculations technically include ESA students, however amounts generated by ESAs are sent directly to the AEA.</t>
  </si>
  <si>
    <t>Note: Statute requires increases in categorical amounts generated by the state cost per pupil, which adds the SSA percentage increase</t>
  </si>
  <si>
    <t>in dollars to a local district's District cost per pupil based on the SSA assumption chosen</t>
  </si>
  <si>
    <t>On the Aid and Levy, Shared Time Non-Public pupils are removed from Budget Enrollment when calculating Media &amp; Ed Services totals which can create small differences.</t>
  </si>
  <si>
    <t>Percent</t>
  </si>
  <si>
    <t>*Property tax impact based on FY 2026 valuations.  FY 2027 actual impact will be slightly different.</t>
  </si>
  <si>
    <t>FY2027 Budget Enrollment</t>
  </si>
  <si>
    <t>DE Dist</t>
  </si>
  <si>
    <t>FY2027 ESAs</t>
  </si>
  <si>
    <t>FY2027 Enrollment numbers are based on DE Certified Enrollment released 12/19/2025</t>
  </si>
  <si>
    <t>District</t>
  </si>
  <si>
    <t>Change in Total Regular Program District Cost</t>
  </si>
  <si>
    <t>Percent Change in RPDC</t>
  </si>
  <si>
    <t>Enroll. Change</t>
  </si>
  <si>
    <t>Pct. Enroll. Change</t>
  </si>
  <si>
    <t>SCPP Additional:</t>
  </si>
  <si>
    <t>SSA Rate Increase</t>
  </si>
  <si>
    <t>Minimum</t>
  </si>
  <si>
    <t>Maximum</t>
  </si>
  <si>
    <t>Average (Mean)</t>
  </si>
  <si>
    <t>Median</t>
  </si>
  <si>
    <t>Count &gt; 0</t>
  </si>
  <si>
    <t>Total</t>
  </si>
  <si>
    <t xml:space="preserve">Step 1: Select Your School District </t>
  </si>
  <si>
    <t>Step 2: Select your projected SSA Rate</t>
  </si>
  <si>
    <t>Categorical Enrollment (Budget + ESA)</t>
  </si>
  <si>
    <t>TSS District Cost Per Pupil</t>
  </si>
  <si>
    <t>PD District Cost per Pupil</t>
  </si>
  <si>
    <t>TLC District Cost Per Pupil</t>
  </si>
  <si>
    <t>EI District Cost Per Pupil</t>
  </si>
  <si>
    <t>TSS District Cost</t>
  </si>
  <si>
    <t>PD District Cost</t>
  </si>
  <si>
    <t>EI District Cost</t>
  </si>
  <si>
    <t>TLC District Cost</t>
  </si>
  <si>
    <t>TSS District Cost per Pupil</t>
  </si>
  <si>
    <t>PD District Cost Per Student</t>
  </si>
  <si>
    <t>EI District Cost Per Student</t>
  </si>
  <si>
    <t>TLC District Cost Per Student</t>
  </si>
  <si>
    <t>Total Categoricals w/Adjustment</t>
  </si>
  <si>
    <t>Categorical Enroll. Change</t>
  </si>
  <si>
    <t>Total Categorical District Cost w/Adjustment</t>
  </si>
  <si>
    <t>Total Media and Ed Services</t>
  </si>
  <si>
    <t>Grand Total RPDC, Categoricals, Meda &amp; Ed Services</t>
  </si>
  <si>
    <t>Change in Total Categorical District Cost</t>
  </si>
  <si>
    <t>Percent Change in Cat.</t>
  </si>
  <si>
    <t>Pct. Cat. Enroll. Change</t>
  </si>
  <si>
    <t>Regular Program District Cost Report</t>
  </si>
  <si>
    <t>Categorical District Cost Report</t>
  </si>
  <si>
    <t>Total District Cost Report</t>
  </si>
  <si>
    <t>© ISFIS 2025 (rc10)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</si>
</sst>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.0_);_(* \(#,##0.0\);_(* &quot;-&quot;??_);_(@_)"/>
    <numFmt numFmtId="166" formatCode="_(* #,##0.000_);_(* \(#,##0.000\);_(* &quot;-&quot;??_);_(@_)"/>
    <numFmt numFmtId="167" formatCode="0.0%"/>
    <numFmt numFmtId="168" formatCode="#,##0.0"/>
    <numFmt numFmtId="169" formatCode="&quot;$&quot;#,##0.0000_);\(&quot;$&quot;#,##0.0000\)"/>
    <numFmt numFmtId="170" formatCode="_(* #,##0.0_);_(* \(#,##0.0\);_(* &quot;-&quot;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8">
    <xf numFmtId="0" fontId="0" fillId="0" borderId="0" xfId="0"/>
    <xf numFmtId="0" fontId="0" fillId="0" borderId="0" xfId="0" applyNumberFormat="1"/>
    <xf numFmtId="0" fontId="0" fillId="0" borderId="0" xfId="0" applyFont="1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 applyAlignment="1"/>
    <xf numFmtId="43" fontId="4" fillId="0" borderId="0" xfId="1" applyFont="1"/>
    <xf numFmtId="164" fontId="6" fillId="0" borderId="0" xfId="2" applyNumberFormat="1" applyFont="1" applyAlignment="1"/>
    <xf numFmtId="0" fontId="0" fillId="0" borderId="0" xfId="0" applyFont="1" applyBorder="1"/>
    <xf numFmtId="164" fontId="6" fillId="0" borderId="0" xfId="2" applyNumberFormat="1" applyFont="1" applyAlignment="1">
      <alignment horizontal="left"/>
    </xf>
    <xf numFmtId="164" fontId="4" fillId="0" borderId="0" xfId="2" applyNumberFormat="1" applyFont="1"/>
    <xf numFmtId="0" fontId="4" fillId="0" borderId="0" xfId="0" applyFont="1" applyAlignment="1">
      <alignment horizontal="centerContinuous" vertical="top"/>
    </xf>
    <xf numFmtId="44" fontId="4" fillId="0" borderId="0" xfId="2" applyNumberFormat="1" applyFont="1" applyBorder="1" applyAlignment="1">
      <alignment horizontal="centerContinuous" vertical="center"/>
    </xf>
    <xf numFmtId="164" fontId="4" fillId="0" borderId="0" xfId="2" applyNumberFormat="1" applyFont="1" applyBorder="1" applyAlignment="1">
      <alignment horizontal="centerContinuous" vertical="center"/>
    </xf>
    <xf numFmtId="166" fontId="4" fillId="0" borderId="0" xfId="1" applyNumberFormat="1" applyFont="1" applyAlignment="1">
      <alignment horizontal="centerContinuous" vertical="center"/>
    </xf>
    <xf numFmtId="164" fontId="4" fillId="0" borderId="0" xfId="0" applyNumberFormat="1" applyFont="1"/>
    <xf numFmtId="0" fontId="4" fillId="0" borderId="0" xfId="0" applyFont="1" applyAlignment="1">
      <alignment horizontal="centerContinuous" vertical="center"/>
    </xf>
    <xf numFmtId="164" fontId="4" fillId="0" borderId="0" xfId="2" applyNumberFormat="1" applyFont="1" applyBorder="1" applyAlignment="1">
      <alignment horizontal="centerContinuous" wrapText="1"/>
    </xf>
    <xf numFmtId="0" fontId="0" fillId="0" borderId="0" xfId="0" applyFont="1" applyFill="1" applyBorder="1"/>
    <xf numFmtId="165" fontId="4" fillId="0" borderId="0" xfId="1" applyNumberFormat="1" applyFont="1" applyFill="1" applyBorder="1" applyAlignment="1"/>
    <xf numFmtId="0" fontId="4" fillId="0" borderId="0" xfId="0" applyFont="1" applyAlignment="1">
      <alignment horizontal="center" wrapText="1"/>
    </xf>
    <xf numFmtId="165" fontId="4" fillId="0" borderId="0" xfId="1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43" fontId="4" fillId="0" borderId="0" xfId="1" applyFont="1" applyAlignment="1">
      <alignment horizontal="center" wrapText="1"/>
    </xf>
    <xf numFmtId="0" fontId="5" fillId="0" borderId="0" xfId="0" applyFont="1"/>
    <xf numFmtId="0" fontId="5" fillId="0" borderId="0" xfId="0" applyFont="1" applyFill="1" applyBorder="1"/>
    <xf numFmtId="164" fontId="5" fillId="0" borderId="0" xfId="2" applyNumberFormat="1" applyFont="1" applyFill="1" applyBorder="1"/>
    <xf numFmtId="164" fontId="5" fillId="0" borderId="0" xfId="0" applyNumberFormat="1" applyFont="1" applyFill="1" applyBorder="1"/>
    <xf numFmtId="167" fontId="5" fillId="0" borderId="0" xfId="3" applyNumberFormat="1" applyFont="1" applyFill="1" applyBorder="1"/>
    <xf numFmtId="168" fontId="5" fillId="0" borderId="0" xfId="0" applyNumberFormat="1" applyFont="1" applyFill="1" applyBorder="1"/>
    <xf numFmtId="43" fontId="5" fillId="0" borderId="0" xfId="1" applyFont="1"/>
    <xf numFmtId="164" fontId="5" fillId="3" borderId="2" xfId="2" applyNumberFormat="1" applyFont="1" applyFill="1" applyBorder="1"/>
    <xf numFmtId="164" fontId="5" fillId="0" borderId="1" xfId="2" applyNumberFormat="1" applyFont="1" applyBorder="1"/>
    <xf numFmtId="0" fontId="5" fillId="0" borderId="0" xfId="0" applyFont="1" applyFill="1" applyBorder="1" applyAlignment="1">
      <alignment vertical="top" wrapText="1"/>
    </xf>
    <xf numFmtId="164" fontId="0" fillId="0" borderId="0" xfId="2" applyNumberFormat="1" applyFont="1"/>
    <xf numFmtId="0" fontId="8" fillId="0" borderId="0" xfId="0" applyFont="1"/>
    <xf numFmtId="10" fontId="0" fillId="0" borderId="0" xfId="0" applyNumberFormat="1"/>
    <xf numFmtId="3" fontId="0" fillId="0" borderId="0" xfId="0" applyNumberFormat="1"/>
    <xf numFmtId="3" fontId="0" fillId="2" borderId="0" xfId="0" applyNumberFormat="1" applyFill="1"/>
    <xf numFmtId="9" fontId="5" fillId="0" borderId="6" xfId="3" applyFont="1" applyBorder="1"/>
    <xf numFmtId="164" fontId="5" fillId="3" borderId="10" xfId="2" applyNumberFormat="1" applyFont="1" applyFill="1" applyBorder="1"/>
    <xf numFmtId="164" fontId="5" fillId="0" borderId="10" xfId="2" applyNumberFormat="1" applyFont="1" applyFill="1" applyBorder="1"/>
    <xf numFmtId="9" fontId="5" fillId="0" borderId="11" xfId="3" applyFont="1" applyBorder="1"/>
    <xf numFmtId="44" fontId="5" fillId="0" borderId="5" xfId="2" applyNumberFormat="1" applyFont="1" applyFill="1" applyBorder="1"/>
    <xf numFmtId="165" fontId="5" fillId="3" borderId="14" xfId="0" applyNumberFormat="1" applyFont="1" applyFill="1" applyBorder="1"/>
    <xf numFmtId="164" fontId="5" fillId="3" borderId="16" xfId="2" applyNumberFormat="1" applyFont="1" applyFill="1" applyBorder="1"/>
    <xf numFmtId="164" fontId="5" fillId="3" borderId="14" xfId="2" applyNumberFormat="1" applyFont="1" applyFill="1" applyBorder="1"/>
    <xf numFmtId="44" fontId="5" fillId="3" borderId="15" xfId="0" applyNumberFormat="1" applyFont="1" applyFill="1" applyBorder="1"/>
    <xf numFmtId="165" fontId="5" fillId="0" borderId="14" xfId="0" applyNumberFormat="1" applyFont="1" applyFill="1" applyBorder="1"/>
    <xf numFmtId="164" fontId="5" fillId="0" borderId="16" xfId="2" applyNumberFormat="1" applyFont="1" applyFill="1" applyBorder="1"/>
    <xf numFmtId="164" fontId="5" fillId="0" borderId="14" xfId="2" applyNumberFormat="1" applyFont="1" applyFill="1" applyBorder="1"/>
    <xf numFmtId="44" fontId="5" fillId="0" borderId="15" xfId="2" applyNumberFormat="1" applyFont="1" applyFill="1" applyBorder="1"/>
    <xf numFmtId="44" fontId="5" fillId="0" borderId="16" xfId="2" applyNumberFormat="1" applyFont="1" applyFill="1" applyBorder="1"/>
    <xf numFmtId="44" fontId="5" fillId="3" borderId="16" xfId="2" applyNumberFormat="1" applyFont="1" applyFill="1" applyBorder="1"/>
    <xf numFmtId="44" fontId="5" fillId="3" borderId="15" xfId="2" applyNumberFormat="1" applyFont="1" applyFill="1" applyBorder="1"/>
    <xf numFmtId="4" fontId="0" fillId="0" borderId="0" xfId="0" applyNumberFormat="1"/>
    <xf numFmtId="4" fontId="0" fillId="2" borderId="0" xfId="0" applyNumberFormat="1" applyFill="1"/>
    <xf numFmtId="165" fontId="5" fillId="0" borderId="25" xfId="0" applyNumberFormat="1" applyFont="1" applyFill="1" applyBorder="1"/>
    <xf numFmtId="165" fontId="5" fillId="3" borderId="28" xfId="0" applyNumberFormat="1" applyFont="1" applyFill="1" applyBorder="1"/>
    <xf numFmtId="165" fontId="5" fillId="0" borderId="28" xfId="0" applyNumberFormat="1" applyFont="1" applyFill="1" applyBorder="1"/>
    <xf numFmtId="9" fontId="5" fillId="0" borderId="29" xfId="3" applyFont="1" applyBorder="1"/>
    <xf numFmtId="44" fontId="5" fillId="3" borderId="5" xfId="2" applyNumberFormat="1" applyFont="1" applyFill="1" applyBorder="1"/>
    <xf numFmtId="164" fontId="5" fillId="0" borderId="9" xfId="2" applyNumberFormat="1" applyFont="1" applyFill="1" applyBorder="1"/>
    <xf numFmtId="9" fontId="5" fillId="0" borderId="20" xfId="3" applyFont="1" applyFill="1" applyBorder="1"/>
    <xf numFmtId="164" fontId="5" fillId="0" borderId="21" xfId="0" applyNumberFormat="1" applyFont="1" applyBorder="1"/>
    <xf numFmtId="164" fontId="5" fillId="0" borderId="22" xfId="0" applyNumberFormat="1" applyFont="1" applyBorder="1"/>
    <xf numFmtId="164" fontId="5" fillId="3" borderId="22" xfId="0" applyNumberFormat="1" applyFont="1" applyFill="1" applyBorder="1"/>
    <xf numFmtId="0" fontId="5" fillId="0" borderId="27" xfId="0" applyFont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165" fontId="5" fillId="0" borderId="21" xfId="1" applyNumberFormat="1" applyFont="1" applyFill="1" applyBorder="1" applyAlignment="1">
      <alignment horizontal="center" vertical="center" wrapText="1"/>
    </xf>
    <xf numFmtId="165" fontId="5" fillId="3" borderId="30" xfId="1" applyNumberFormat="1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164" fontId="5" fillId="0" borderId="12" xfId="2" applyNumberFormat="1" applyFont="1" applyFill="1" applyBorder="1"/>
    <xf numFmtId="164" fontId="5" fillId="3" borderId="31" xfId="2" applyNumberFormat="1" applyFont="1" applyFill="1" applyBorder="1"/>
    <xf numFmtId="164" fontId="5" fillId="0" borderId="5" xfId="2" applyNumberFormat="1" applyFont="1" applyBorder="1"/>
    <xf numFmtId="10" fontId="5" fillId="0" borderId="6" xfId="3" applyNumberFormat="1" applyFont="1" applyBorder="1"/>
    <xf numFmtId="164" fontId="5" fillId="0" borderId="32" xfId="2" applyNumberFormat="1" applyFont="1" applyFill="1" applyBorder="1"/>
    <xf numFmtId="164" fontId="5" fillId="0" borderId="7" xfId="2" applyNumberFormat="1" applyFont="1" applyFill="1" applyBorder="1"/>
    <xf numFmtId="167" fontId="5" fillId="0" borderId="8" xfId="3" applyNumberFormat="1" applyFont="1" applyBorder="1"/>
    <xf numFmtId="164" fontId="5" fillId="0" borderId="10" xfId="2" applyNumberFormat="1" applyFont="1" applyBorder="1"/>
    <xf numFmtId="167" fontId="5" fillId="0" borderId="11" xfId="3" applyNumberFormat="1" applyFont="1" applyBorder="1"/>
    <xf numFmtId="165" fontId="5" fillId="0" borderId="27" xfId="1" applyNumberFormat="1" applyFont="1" applyFill="1" applyBorder="1"/>
    <xf numFmtId="165" fontId="5" fillId="0" borderId="28" xfId="0" applyNumberFormat="1" applyFont="1" applyBorder="1"/>
    <xf numFmtId="167" fontId="5" fillId="0" borderId="29" xfId="3" applyNumberFormat="1" applyFont="1" applyBorder="1"/>
    <xf numFmtId="0" fontId="0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44" fontId="0" fillId="0" borderId="0" xfId="0" applyNumberFormat="1"/>
    <xf numFmtId="44" fontId="0" fillId="0" borderId="0" xfId="0" applyNumberFormat="1" applyBorder="1"/>
    <xf numFmtId="10" fontId="5" fillId="0" borderId="0" xfId="3" applyNumberFormat="1" applyFont="1"/>
    <xf numFmtId="164" fontId="5" fillId="0" borderId="27" xfId="2" applyNumberFormat="1" applyFont="1" applyFill="1" applyBorder="1"/>
    <xf numFmtId="164" fontId="5" fillId="3" borderId="22" xfId="2" applyNumberFormat="1" applyFont="1" applyFill="1" applyBorder="1"/>
    <xf numFmtId="164" fontId="5" fillId="0" borderId="22" xfId="2" applyNumberFormat="1" applyFont="1" applyFill="1" applyBorder="1"/>
    <xf numFmtId="10" fontId="5" fillId="0" borderId="20" xfId="3" applyNumberFormat="1" applyFont="1" applyBorder="1"/>
    <xf numFmtId="0" fontId="5" fillId="0" borderId="21" xfId="0" applyFont="1" applyFill="1" applyBorder="1"/>
    <xf numFmtId="167" fontId="5" fillId="0" borderId="6" xfId="3" applyNumberFormat="1" applyFont="1" applyBorder="1"/>
    <xf numFmtId="167" fontId="5" fillId="0" borderId="26" xfId="3" applyNumberFormat="1" applyFont="1" applyBorder="1"/>
    <xf numFmtId="167" fontId="5" fillId="0" borderId="18" xfId="3" applyNumberFormat="1" applyFont="1" applyBorder="1"/>
    <xf numFmtId="167" fontId="5" fillId="0" borderId="17" xfId="3" applyNumberFormat="1" applyFont="1" applyBorder="1"/>
    <xf numFmtId="167" fontId="5" fillId="0" borderId="19" xfId="3" applyNumberFormat="1" applyFont="1" applyBorder="1"/>
    <xf numFmtId="167" fontId="0" fillId="0" borderId="0" xfId="0" applyNumberFormat="1"/>
    <xf numFmtId="167" fontId="5" fillId="0" borderId="20" xfId="3" applyNumberFormat="1" applyFont="1" applyBorder="1"/>
    <xf numFmtId="164" fontId="5" fillId="0" borderId="3" xfId="2" applyNumberFormat="1" applyFont="1" applyFill="1" applyBorder="1"/>
    <xf numFmtId="164" fontId="5" fillId="3" borderId="3" xfId="2" applyNumberFormat="1" applyFont="1" applyFill="1" applyBorder="1"/>
    <xf numFmtId="164" fontId="5" fillId="0" borderId="1" xfId="2" applyNumberFormat="1" applyFont="1" applyFill="1" applyBorder="1"/>
    <xf numFmtId="164" fontId="5" fillId="3" borderId="1" xfId="2" applyNumberFormat="1" applyFont="1" applyFill="1" applyBorder="1"/>
    <xf numFmtId="164" fontId="5" fillId="0" borderId="5" xfId="2" applyNumberFormat="1" applyFont="1" applyFill="1" applyBorder="1"/>
    <xf numFmtId="164" fontId="5" fillId="3" borderId="5" xfId="2" applyNumberFormat="1" applyFont="1" applyFill="1" applyBorder="1"/>
    <xf numFmtId="10" fontId="5" fillId="0" borderId="8" xfId="3" applyNumberFormat="1" applyFont="1" applyBorder="1"/>
    <xf numFmtId="10" fontId="5" fillId="0" borderId="11" xfId="3" applyNumberFormat="1" applyFont="1" applyBorder="1"/>
    <xf numFmtId="0" fontId="5" fillId="0" borderId="16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wrapText="1"/>
    </xf>
    <xf numFmtId="0" fontId="5" fillId="0" borderId="27" xfId="0" applyFont="1" applyFill="1" applyBorder="1" applyAlignment="1">
      <alignment horizontal="left" vertical="center" wrapText="1"/>
    </xf>
    <xf numFmtId="169" fontId="5" fillId="0" borderId="28" xfId="2" applyNumberFormat="1" applyFont="1" applyBorder="1"/>
    <xf numFmtId="0" fontId="0" fillId="0" borderId="29" xfId="0" applyFont="1" applyBorder="1"/>
    <xf numFmtId="0" fontId="5" fillId="0" borderId="33" xfId="0" applyFont="1" applyBorder="1"/>
    <xf numFmtId="0" fontId="5" fillId="0" borderId="34" xfId="0" applyFont="1" applyBorder="1" applyAlignment="1">
      <alignment horizontal="center" vertical="center"/>
    </xf>
    <xf numFmtId="165" fontId="5" fillId="0" borderId="0" xfId="0" applyNumberFormat="1" applyFont="1" applyBorder="1"/>
    <xf numFmtId="165" fontId="5" fillId="0" borderId="35" xfId="0" applyNumberFormat="1" applyFont="1" applyBorder="1"/>
    <xf numFmtId="44" fontId="5" fillId="0" borderId="19" xfId="2" applyNumberFormat="1" applyFont="1" applyFill="1" applyBorder="1"/>
    <xf numFmtId="164" fontId="5" fillId="0" borderId="19" xfId="2" applyNumberFormat="1" applyFont="1" applyFill="1" applyBorder="1"/>
    <xf numFmtId="164" fontId="5" fillId="0" borderId="18" xfId="2" applyNumberFormat="1" applyFont="1" applyFill="1" applyBorder="1"/>
    <xf numFmtId="44" fontId="5" fillId="0" borderId="17" xfId="2" applyNumberFormat="1" applyFont="1" applyFill="1" applyBorder="1"/>
    <xf numFmtId="0" fontId="5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/>
    <xf numFmtId="0" fontId="5" fillId="0" borderId="14" xfId="0" applyFont="1" applyFill="1" applyBorder="1"/>
    <xf numFmtId="0" fontId="5" fillId="0" borderId="15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25" xfId="0" applyFont="1" applyFill="1" applyBorder="1"/>
    <xf numFmtId="0" fontId="5" fillId="0" borderId="15" xfId="0" applyFont="1" applyFill="1" applyBorder="1"/>
    <xf numFmtId="165" fontId="5" fillId="0" borderId="34" xfId="0" applyNumberFormat="1" applyFont="1" applyBorder="1"/>
    <xf numFmtId="44" fontId="5" fillId="0" borderId="36" xfId="2" applyNumberFormat="1" applyFont="1" applyFill="1" applyBorder="1"/>
    <xf numFmtId="164" fontId="5" fillId="0" borderId="37" xfId="2" applyNumberFormat="1" applyFont="1" applyFill="1" applyBorder="1"/>
    <xf numFmtId="0" fontId="0" fillId="0" borderId="33" xfId="0" applyBorder="1"/>
    <xf numFmtId="0" fontId="5" fillId="0" borderId="3" xfId="0" applyFont="1" applyFill="1" applyBorder="1"/>
    <xf numFmtId="0" fontId="5" fillId="0" borderId="3" xfId="0" applyFont="1" applyBorder="1" applyAlignment="1">
      <alignment horizontal="left" vertical="center" wrapText="1"/>
    </xf>
    <xf numFmtId="164" fontId="5" fillId="0" borderId="36" xfId="2" applyNumberFormat="1" applyFont="1" applyFill="1" applyBorder="1"/>
    <xf numFmtId="164" fontId="5" fillId="0" borderId="13" xfId="2" applyNumberFormat="1" applyFont="1" applyFill="1" applyBorder="1"/>
    <xf numFmtId="0" fontId="5" fillId="0" borderId="4" xfId="0" applyFont="1" applyFill="1" applyBorder="1"/>
    <xf numFmtId="0" fontId="5" fillId="0" borderId="7" xfId="0" applyFont="1" applyFill="1" applyBorder="1"/>
    <xf numFmtId="0" fontId="5" fillId="0" borderId="9" xfId="0" applyFont="1" applyFill="1" applyBorder="1"/>
    <xf numFmtId="0" fontId="0" fillId="0" borderId="0" xfId="0" applyFont="1" applyAlignment="1"/>
    <xf numFmtId="0" fontId="9" fillId="0" borderId="0" xfId="0" applyFont="1"/>
    <xf numFmtId="0" fontId="5" fillId="0" borderId="21" xfId="0" applyFont="1" applyBorder="1"/>
    <xf numFmtId="0" fontId="5" fillId="0" borderId="40" xfId="0" applyFont="1" applyBorder="1"/>
    <xf numFmtId="0" fontId="5" fillId="0" borderId="41" xfId="0" applyFont="1" applyBorder="1"/>
    <xf numFmtId="0" fontId="5" fillId="0" borderId="27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165" fontId="0" fillId="0" borderId="0" xfId="1" applyNumberFormat="1" applyFont="1" applyFill="1" applyBorder="1" applyAlignment="1"/>
    <xf numFmtId="10" fontId="5" fillId="2" borderId="3" xfId="3" applyNumberFormat="1" applyFont="1" applyFill="1" applyBorder="1"/>
    <xf numFmtId="0" fontId="5" fillId="2" borderId="3" xfId="0" applyFont="1" applyFill="1" applyBorder="1"/>
    <xf numFmtId="164" fontId="4" fillId="0" borderId="0" xfId="0" applyNumberFormat="1" applyFont="1" applyFill="1" applyBorder="1"/>
    <xf numFmtId="10" fontId="5" fillId="0" borderId="3" xfId="3" applyNumberFormat="1" applyFont="1" applyFill="1" applyBorder="1"/>
    <xf numFmtId="10" fontId="5" fillId="0" borderId="3" xfId="0" applyNumberFormat="1" applyFont="1" applyBorder="1"/>
    <xf numFmtId="0" fontId="5" fillId="0" borderId="3" xfId="0" applyFont="1" applyBorder="1"/>
    <xf numFmtId="165" fontId="5" fillId="3" borderId="24" xfId="0" applyNumberFormat="1" applyFont="1" applyFill="1" applyBorder="1"/>
    <xf numFmtId="165" fontId="5" fillId="3" borderId="30" xfId="1" applyNumberFormat="1" applyFont="1" applyFill="1" applyBorder="1" applyAlignment="1">
      <alignment horizontal="center" wrapText="1"/>
    </xf>
    <xf numFmtId="0" fontId="10" fillId="0" borderId="0" xfId="0" applyFont="1"/>
    <xf numFmtId="164" fontId="10" fillId="0" borderId="1" xfId="2" applyNumberFormat="1" applyFont="1" applyBorder="1" applyAlignment="1">
      <alignment horizontal="center" wrapText="1"/>
    </xf>
    <xf numFmtId="44" fontId="5" fillId="0" borderId="0" xfId="0" applyNumberFormat="1" applyFont="1"/>
    <xf numFmtId="164" fontId="0" fillId="0" borderId="3" xfId="2" applyNumberFormat="1" applyFont="1" applyFill="1" applyBorder="1"/>
    <xf numFmtId="10" fontId="0" fillId="0" borderId="3" xfId="0" applyNumberFormat="1" applyBorder="1"/>
    <xf numFmtId="165" fontId="5" fillId="0" borderId="38" xfId="1" applyNumberFormat="1" applyFont="1" applyBorder="1"/>
    <xf numFmtId="165" fontId="5" fillId="0" borderId="39" xfId="1" applyNumberFormat="1" applyFont="1" applyFill="1" applyBorder="1"/>
    <xf numFmtId="165" fontId="5" fillId="0" borderId="9" xfId="1" applyNumberFormat="1" applyFont="1" applyBorder="1"/>
    <xf numFmtId="165" fontId="5" fillId="0" borderId="11" xfId="1" applyNumberFormat="1" applyFont="1" applyFill="1" applyBorder="1"/>
    <xf numFmtId="165" fontId="0" fillId="0" borderId="0" xfId="1" applyNumberFormat="1" applyFont="1"/>
    <xf numFmtId="165" fontId="10" fillId="0" borderId="4" xfId="1" applyNumberFormat="1" applyFont="1" applyFill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165" fontId="0" fillId="4" borderId="23" xfId="1" applyNumberFormat="1" applyFont="1" applyFill="1" applyBorder="1"/>
    <xf numFmtId="164" fontId="0" fillId="4" borderId="0" xfId="0" applyNumberFormat="1" applyFill="1" applyBorder="1"/>
    <xf numFmtId="167" fontId="0" fillId="4" borderId="0" xfId="3" applyNumberFormat="1" applyFont="1" applyFill="1" applyBorder="1"/>
    <xf numFmtId="0" fontId="0" fillId="4" borderId="0" xfId="0" applyFill="1" applyBorder="1"/>
    <xf numFmtId="167" fontId="0" fillId="4" borderId="43" xfId="3" applyNumberFormat="1" applyFont="1" applyFill="1" applyBorder="1"/>
    <xf numFmtId="165" fontId="0" fillId="0" borderId="23" xfId="1" applyNumberFormat="1" applyFont="1" applyBorder="1"/>
    <xf numFmtId="164" fontId="0" fillId="0" borderId="0" xfId="0" applyNumberFormat="1" applyBorder="1"/>
    <xf numFmtId="167" fontId="0" fillId="0" borderId="0" xfId="3" applyNumberFormat="1" applyFont="1" applyBorder="1"/>
    <xf numFmtId="0" fontId="0" fillId="0" borderId="0" xfId="0" applyBorder="1"/>
    <xf numFmtId="167" fontId="0" fillId="0" borderId="43" xfId="3" applyNumberFormat="1" applyFont="1" applyBorder="1"/>
    <xf numFmtId="165" fontId="0" fillId="4" borderId="44" xfId="1" applyNumberFormat="1" applyFont="1" applyFill="1" applyBorder="1"/>
    <xf numFmtId="164" fontId="0" fillId="4" borderId="45" xfId="0" applyNumberFormat="1" applyFill="1" applyBorder="1"/>
    <xf numFmtId="167" fontId="0" fillId="4" borderId="45" xfId="3" applyNumberFormat="1" applyFont="1" applyFill="1" applyBorder="1"/>
    <xf numFmtId="0" fontId="0" fillId="4" borderId="45" xfId="0" applyFill="1" applyBorder="1"/>
    <xf numFmtId="167" fontId="0" fillId="4" borderId="46" xfId="3" applyNumberFormat="1" applyFont="1" applyFill="1" applyBorder="1"/>
    <xf numFmtId="0" fontId="10" fillId="0" borderId="7" xfId="0" applyFont="1" applyBorder="1" applyAlignment="1">
      <alignment horizontal="center" wrapText="1"/>
    </xf>
    <xf numFmtId="164" fontId="10" fillId="0" borderId="8" xfId="2" applyNumberFormat="1" applyFont="1" applyBorder="1" applyAlignment="1">
      <alignment horizontal="center" wrapText="1"/>
    </xf>
    <xf numFmtId="164" fontId="0" fillId="4" borderId="43" xfId="0" applyNumberFormat="1" applyFill="1" applyBorder="1"/>
    <xf numFmtId="164" fontId="0" fillId="0" borderId="43" xfId="0" applyNumberFormat="1" applyBorder="1"/>
    <xf numFmtId="164" fontId="0" fillId="4" borderId="46" xfId="0" applyNumberFormat="1" applyFill="1" applyBorder="1"/>
    <xf numFmtId="0" fontId="11" fillId="0" borderId="33" xfId="0" applyFont="1" applyBorder="1" applyAlignment="1">
      <alignment horizontal="center" wrapText="1"/>
    </xf>
    <xf numFmtId="0" fontId="0" fillId="4" borderId="24" xfId="0" applyFill="1" applyBorder="1"/>
    <xf numFmtId="0" fontId="0" fillId="0" borderId="24" xfId="0" applyBorder="1"/>
    <xf numFmtId="0" fontId="0" fillId="4" borderId="42" xfId="0" applyFill="1" applyBorder="1"/>
    <xf numFmtId="165" fontId="0" fillId="0" borderId="44" xfId="1" applyNumberFormat="1" applyFont="1" applyBorder="1"/>
    <xf numFmtId="164" fontId="0" fillId="0" borderId="45" xfId="0" applyNumberFormat="1" applyBorder="1"/>
    <xf numFmtId="164" fontId="0" fillId="0" borderId="46" xfId="0" applyNumberFormat="1" applyBorder="1"/>
    <xf numFmtId="0" fontId="0" fillId="0" borderId="45" xfId="0" applyBorder="1"/>
    <xf numFmtId="0" fontId="0" fillId="4" borderId="33" xfId="0" applyFill="1" applyBorder="1"/>
    <xf numFmtId="165" fontId="0" fillId="4" borderId="49" xfId="1" applyNumberFormat="1" applyFont="1" applyFill="1" applyBorder="1"/>
    <xf numFmtId="164" fontId="0" fillId="4" borderId="31" xfId="0" applyNumberFormat="1" applyFill="1" applyBorder="1"/>
    <xf numFmtId="164" fontId="0" fillId="4" borderId="50" xfId="0" applyNumberFormat="1" applyFill="1" applyBorder="1"/>
    <xf numFmtId="167" fontId="0" fillId="4" borderId="31" xfId="3" applyNumberFormat="1" applyFont="1" applyFill="1" applyBorder="1"/>
    <xf numFmtId="0" fontId="0" fillId="4" borderId="31" xfId="0" applyFill="1" applyBorder="1"/>
    <xf numFmtId="167" fontId="0" fillId="4" borderId="50" xfId="3" applyNumberFormat="1" applyFont="1" applyFill="1" applyBorder="1"/>
    <xf numFmtId="0" fontId="0" fillId="0" borderId="42" xfId="0" applyBorder="1"/>
    <xf numFmtId="167" fontId="0" fillId="0" borderId="45" xfId="3" applyNumberFormat="1" applyFont="1" applyBorder="1"/>
    <xf numFmtId="167" fontId="0" fillId="0" borderId="46" xfId="3" applyNumberFormat="1" applyFont="1" applyBorder="1"/>
    <xf numFmtId="0" fontId="0" fillId="4" borderId="0" xfId="0" applyNumberFormat="1" applyFill="1" applyBorder="1"/>
    <xf numFmtId="0" fontId="0" fillId="4" borderId="23" xfId="1" applyNumberFormat="1" applyFont="1" applyFill="1" applyBorder="1"/>
    <xf numFmtId="0" fontId="0" fillId="4" borderId="43" xfId="0" applyNumberFormat="1" applyFill="1" applyBorder="1"/>
    <xf numFmtId="170" fontId="0" fillId="0" borderId="0" xfId="0" applyNumberFormat="1"/>
    <xf numFmtId="44" fontId="0" fillId="4" borderId="0" xfId="0" applyNumberFormat="1" applyFill="1" applyBorder="1"/>
    <xf numFmtId="44" fontId="0" fillId="4" borderId="31" xfId="0" applyNumberFormat="1" applyFill="1" applyBorder="1"/>
    <xf numFmtId="44" fontId="0" fillId="4" borderId="45" xfId="0" applyNumberFormat="1" applyFill="1" applyBorder="1"/>
    <xf numFmtId="0" fontId="10" fillId="0" borderId="32" xfId="0" applyFont="1" applyBorder="1" applyAlignment="1">
      <alignment horizontal="center" wrapText="1"/>
    </xf>
    <xf numFmtId="164" fontId="10" fillId="0" borderId="51" xfId="2" applyNumberFormat="1" applyFont="1" applyBorder="1" applyAlignment="1">
      <alignment horizontal="center" wrapText="1"/>
    </xf>
    <xf numFmtId="164" fontId="10" fillId="0" borderId="52" xfId="2" applyNumberFormat="1" applyFont="1" applyBorder="1" applyAlignment="1">
      <alignment horizontal="center" wrapText="1"/>
    </xf>
    <xf numFmtId="0" fontId="0" fillId="4" borderId="53" xfId="0" applyFill="1" applyBorder="1"/>
    <xf numFmtId="44" fontId="0" fillId="4" borderId="2" xfId="0" applyNumberFormat="1" applyFill="1" applyBorder="1"/>
    <xf numFmtId="164" fontId="0" fillId="4" borderId="2" xfId="0" applyNumberFormat="1" applyFill="1" applyBorder="1"/>
    <xf numFmtId="167" fontId="0" fillId="4" borderId="2" xfId="3" applyNumberFormat="1" applyFont="1" applyFill="1" applyBorder="1"/>
    <xf numFmtId="0" fontId="0" fillId="0" borderId="2" xfId="0" applyBorder="1"/>
    <xf numFmtId="0" fontId="0" fillId="0" borderId="54" xfId="0" applyBorder="1"/>
    <xf numFmtId="0" fontId="0" fillId="4" borderId="54" xfId="0" applyFill="1" applyBorder="1"/>
    <xf numFmtId="0" fontId="0" fillId="4" borderId="39" xfId="0" applyFill="1" applyBorder="1"/>
    <xf numFmtId="0" fontId="10" fillId="0" borderId="12" xfId="0" applyFont="1" applyBorder="1" applyAlignment="1">
      <alignment horizontal="center" wrapText="1"/>
    </xf>
    <xf numFmtId="164" fontId="10" fillId="0" borderId="55" xfId="2" applyNumberFormat="1" applyFont="1" applyBorder="1" applyAlignment="1">
      <alignment horizontal="center" wrapText="1"/>
    </xf>
    <xf numFmtId="164" fontId="10" fillId="0" borderId="56" xfId="2" applyNumberFormat="1" applyFont="1" applyBorder="1" applyAlignment="1">
      <alignment horizontal="center" wrapText="1"/>
    </xf>
    <xf numFmtId="0" fontId="10" fillId="0" borderId="55" xfId="0" applyFont="1" applyBorder="1" applyAlignment="1">
      <alignment horizontal="center" wrapText="1"/>
    </xf>
    <xf numFmtId="0" fontId="10" fillId="0" borderId="57" xfId="0" applyFont="1" applyBorder="1" applyAlignment="1">
      <alignment horizontal="center" wrapText="1"/>
    </xf>
    <xf numFmtId="165" fontId="0" fillId="4" borderId="58" xfId="1" applyNumberFormat="1" applyFont="1" applyFill="1" applyBorder="1"/>
    <xf numFmtId="167" fontId="0" fillId="4" borderId="59" xfId="3" applyNumberFormat="1" applyFont="1" applyFill="1" applyBorder="1"/>
    <xf numFmtId="165" fontId="10" fillId="0" borderId="12" xfId="1" applyNumberFormat="1" applyFont="1" applyFill="1" applyBorder="1" applyAlignment="1">
      <alignment horizontal="center" wrapText="1"/>
    </xf>
    <xf numFmtId="164" fontId="10" fillId="0" borderId="53" xfId="2" applyNumberFormat="1" applyFont="1" applyBorder="1" applyAlignment="1">
      <alignment horizontal="center" wrapText="1"/>
    </xf>
    <xf numFmtId="164" fontId="10" fillId="0" borderId="0" xfId="2" applyNumberFormat="1" applyFont="1" applyBorder="1" applyAlignment="1">
      <alignment horizontal="center" wrapText="1"/>
    </xf>
    <xf numFmtId="0" fontId="0" fillId="4" borderId="49" xfId="0" applyFill="1" applyBorder="1"/>
    <xf numFmtId="0" fontId="0" fillId="0" borderId="23" xfId="0" applyBorder="1"/>
    <xf numFmtId="0" fontId="0" fillId="4" borderId="23" xfId="0" applyFill="1" applyBorder="1"/>
    <xf numFmtId="0" fontId="0" fillId="4" borderId="44" xfId="0" applyFill="1" applyBorder="1"/>
    <xf numFmtId="165" fontId="10" fillId="0" borderId="60" xfId="1" applyNumberFormat="1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5" fontId="10" fillId="3" borderId="21" xfId="1" applyNumberFormat="1" applyFont="1" applyFill="1" applyBorder="1" applyAlignment="1">
      <alignment horizontal="center"/>
    </xf>
    <xf numFmtId="165" fontId="10" fillId="3" borderId="22" xfId="1" applyNumberFormat="1" applyFont="1" applyFill="1" applyBorder="1" applyAlignment="1">
      <alignment horizontal="center"/>
    </xf>
    <xf numFmtId="165" fontId="10" fillId="3" borderId="20" xfId="1" applyNumberFormat="1" applyFont="1" applyFill="1" applyBorder="1" applyAlignment="1">
      <alignment horizontal="center"/>
    </xf>
    <xf numFmtId="165" fontId="10" fillId="0" borderId="47" xfId="1" applyNumberFormat="1" applyFont="1" applyFill="1" applyBorder="1" applyAlignment="1">
      <alignment horizontal="center"/>
    </xf>
    <xf numFmtId="165" fontId="10" fillId="0" borderId="48" xfId="1" applyNumberFormat="1" applyFont="1" applyFill="1" applyBorder="1" applyAlignment="1">
      <alignment horizontal="center"/>
    </xf>
    <xf numFmtId="165" fontId="10" fillId="0" borderId="17" xfId="1" applyNumberFormat="1" applyFont="1" applyFill="1" applyBorder="1" applyAlignment="1">
      <alignment horizontal="center"/>
    </xf>
    <xf numFmtId="165" fontId="10" fillId="0" borderId="49" xfId="1" applyNumberFormat="1" applyFont="1" applyFill="1" applyBorder="1" applyAlignment="1">
      <alignment horizontal="center"/>
    </xf>
    <xf numFmtId="165" fontId="10" fillId="0" borderId="31" xfId="1" applyNumberFormat="1" applyFont="1" applyFill="1" applyBorder="1" applyAlignment="1">
      <alignment horizontal="center"/>
    </xf>
    <xf numFmtId="165" fontId="10" fillId="0" borderId="50" xfId="1" applyNumberFormat="1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9">
    <dxf>
      <numFmt numFmtId="0" formatCode="General"/>
    </dxf>
    <dxf>
      <numFmt numFmtId="0" formatCode="General"/>
    </dxf>
    <dxf>
      <numFmt numFmtId="4" formatCode="#,##0.00"/>
    </dxf>
    <dxf>
      <numFmt numFmtId="4" formatCode="#,##0.00"/>
    </dxf>
    <dxf>
      <numFmt numFmtId="3" formatCode="#,##0"/>
    </dxf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895350</xdr:colOff>
      <xdr:row>24</xdr:row>
      <xdr:rowOff>142875</xdr:rowOff>
    </xdr:from>
    <xdr:to>
      <xdr:col>4</xdr:col>
      <xdr:colOff>973943</xdr:colOff>
      <xdr:row>27</xdr:row>
      <xdr:rowOff>148648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314E24-5AFE-483F-9E7C-1A8BE45F8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4350" y="5629275"/>
          <a:ext cx="1316843" cy="6248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708807</xdr:colOff>
      <xdr:row>17</xdr:row>
      <xdr:rowOff>62672</xdr:rowOff>
    </xdr:from>
    <xdr:to>
      <xdr:col>4</xdr:col>
      <xdr:colOff>787400</xdr:colOff>
      <xdr:row>20</xdr:row>
      <xdr:rowOff>116070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1392509-7965-432A-82F2-15598AAC8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47807" y="4167947"/>
          <a:ext cx="1316843" cy="6248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1047750</xdr:colOff>
      <xdr:row>30</xdr:row>
      <xdr:rowOff>57150</xdr:rowOff>
    </xdr:from>
    <xdr:to>
      <xdr:col>4</xdr:col>
      <xdr:colOff>1126343</xdr:colOff>
      <xdr:row>33</xdr:row>
      <xdr:rowOff>110548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9F993D-341C-46FB-8E87-22861383E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7058025"/>
          <a:ext cx="1316843" cy="62489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1085850</xdr:colOff>
      <xdr:row>22</xdr:row>
      <xdr:rowOff>95250</xdr:rowOff>
    </xdr:from>
    <xdr:to>
      <xdr:col>4</xdr:col>
      <xdr:colOff>1164443</xdr:colOff>
      <xdr:row>25</xdr:row>
      <xdr:rowOff>148648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2368D8-816B-4306-B38C-6E296FF01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96275" y="4924425"/>
          <a:ext cx="1316843" cy="62489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1100138</xdr:colOff>
      <xdr:row>23</xdr:row>
      <xdr:rowOff>176213</xdr:rowOff>
    </xdr:from>
    <xdr:to>
      <xdr:col>4</xdr:col>
      <xdr:colOff>1178731</xdr:colOff>
      <xdr:row>26</xdr:row>
      <xdr:rowOff>181986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33E144-3466-430C-B327-709F08D7B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20088" y="5548313"/>
          <a:ext cx="1316843" cy="62489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123825</xdr:rowOff>
    </xdr:from>
    <xdr:to>
      <xdr:col>0</xdr:col>
      <xdr:colOff>2062302</xdr:colOff>
      <xdr:row>5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034FA6-52D5-4260-9AE2-33D5011C5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23825"/>
          <a:ext cx="1967052" cy="9334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123825</xdr:rowOff>
    </xdr:from>
    <xdr:to>
      <xdr:col>0</xdr:col>
      <xdr:colOff>2062302</xdr:colOff>
      <xdr:row>5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2DE270-B01A-4691-BB11-667DC13D1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23825"/>
          <a:ext cx="1967052" cy="89058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123825</xdr:rowOff>
    </xdr:from>
    <xdr:to>
      <xdr:col>0</xdr:col>
      <xdr:colOff>2062302</xdr:colOff>
      <xdr:row>5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A39A68-E009-4190-92AC-205DF4736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23825"/>
          <a:ext cx="1967052" cy="89058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Data" displayName="Data" ref="A1:W327" totalsRowShown="0">
  <autoFilter ref="A1:W327"/>
  <tableColumns count="23">
    <tableColumn id="1" name="AEA" dataDxfId="8"/>
    <tableColumn id="2" name="co" dataDxfId="7"/>
    <tableColumn id="3" name="DE Dist" dataDxfId="6"/>
    <tableColumn id="4" name="Label"/>
    <tableColumn id="5" name="FY2026 Budget Enrollment"/>
    <tableColumn id="13" name="FY2026 ESA"/>
    <tableColumn id="6" name="FY26 RPDC Per Student"/>
    <tableColumn id="11" name="FY2026 RPDC Total" dataDxfId="5"/>
    <tableColumn id="12" name="FY2026 RPDC Budget Guarantee" dataDxfId="4"/>
    <tableColumn id="7" name="FY2026 TSS"/>
    <tableColumn id="14" name="FY2026 TSS Budget Guarantee"/>
    <tableColumn id="8" name="FY2026 PD"/>
    <tableColumn id="15" name="FY2026 PD Budget Guarantee"/>
    <tableColumn id="9" name="FY2026 Early Intervention"/>
    <tableColumn id="16" name="FY2026 Early Intervention Budget Guarantee"/>
    <tableColumn id="10" name="FY2026 TLC"/>
    <tableColumn id="17" name="FY2026 TLC Budget Gurantee"/>
    <tableColumn id="18" name="FY2026 Media Services" dataDxfId="3"/>
    <tableColumn id="19" name="FY2026 Ed Services" dataDxfId="2"/>
    <tableColumn id="20" name="FY2026 Valuation"/>
    <tableColumn id="21" name="FY2026 Property Valuation With TIF"/>
    <tableColumn id="22" name="FY2027 Budget Enrollment" dataDxfId="1"/>
    <tableColumn id="23" name="FY2027 ESAs" dataDxfId="0"/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abSelected="1" workbookViewId="0"/>
  </sheetViews>
  <sheetFormatPr defaultRowHeight="14.4" x14ac:dyDescent="0.55000000000000004"/>
  <cols>
    <col min="1" max="1" width="71.41796875" customWidth="1"/>
    <col min="2" max="5" width="18.578125" customWidth="1"/>
  </cols>
  <sheetData>
    <row r="1" spans="1:5" s="2" customFormat="1" x14ac:dyDescent="0.55000000000000004"/>
    <row r="2" spans="1:5" s="2" customFormat="1" x14ac:dyDescent="0.55000000000000004"/>
    <row r="3" spans="1:5" s="2" customFormat="1" x14ac:dyDescent="0.55000000000000004"/>
    <row r="4" spans="1:5" s="2" customFormat="1" ht="25.8" x14ac:dyDescent="0.95">
      <c r="A4" s="3" t="s">
        <v>400</v>
      </c>
      <c r="B4" s="4"/>
      <c r="C4" s="4"/>
      <c r="D4" s="4"/>
      <c r="E4" s="4"/>
    </row>
    <row r="5" spans="1:5" s="2" customFormat="1" x14ac:dyDescent="0.55000000000000004">
      <c r="A5" s="247" t="s">
        <v>398</v>
      </c>
      <c r="B5" s="247"/>
      <c r="C5" s="247"/>
      <c r="D5" s="247"/>
      <c r="E5" s="247"/>
    </row>
    <row r="6" spans="1:5" ht="18.600000000000001" thickBot="1" x14ac:dyDescent="0.75">
      <c r="A6" s="6" t="s">
        <v>336</v>
      </c>
      <c r="B6" s="2"/>
      <c r="C6" s="6" t="s">
        <v>337</v>
      </c>
      <c r="E6" s="25" t="s">
        <v>422</v>
      </c>
    </row>
    <row r="7" spans="1:5" ht="18.600000000000001" thickBot="1" x14ac:dyDescent="0.75">
      <c r="A7" s="156" t="s">
        <v>3</v>
      </c>
      <c r="B7" s="2"/>
      <c r="C7" s="155">
        <v>0.02</v>
      </c>
      <c r="E7" s="105">
        <v>0</v>
      </c>
    </row>
    <row r="8" spans="1:5" ht="15.75" customHeight="1" x14ac:dyDescent="0.55000000000000004">
      <c r="C8" s="154"/>
    </row>
    <row r="9" spans="1:5" ht="14.7" thickBot="1" x14ac:dyDescent="0.6">
      <c r="A9" s="5"/>
      <c r="B9" s="12"/>
    </row>
    <row r="10" spans="1:5" ht="18.600000000000001" thickBot="1" x14ac:dyDescent="0.75">
      <c r="A10" s="149"/>
      <c r="B10" s="152" t="s">
        <v>369</v>
      </c>
      <c r="C10" s="153" t="s">
        <v>370</v>
      </c>
    </row>
    <row r="11" spans="1:5" ht="18.3" x14ac:dyDescent="0.7">
      <c r="A11" s="150" t="s">
        <v>341</v>
      </c>
      <c r="B11" s="168">
        <f>INDEX(Data[FY2026 Budget Enrollment],MATCH(A7,Data[Label],0))</f>
        <v>704.3</v>
      </c>
      <c r="C11" s="169">
        <f>INDEX(Data[FY2027 Budget Enrollment],MATCH(A7,Data[Label],0))</f>
        <v>692.6</v>
      </c>
      <c r="E11" s="217"/>
    </row>
    <row r="12" spans="1:5" ht="18.600000000000001" thickBot="1" x14ac:dyDescent="0.75">
      <c r="A12" s="151" t="s">
        <v>352</v>
      </c>
      <c r="B12" s="170">
        <f>INDEX(Data[FY2026 ESA],MATCH('District RPDC'!A7,Data[Label],0))</f>
        <v>19</v>
      </c>
      <c r="C12" s="171">
        <f>INDEX(Data[FY2027 ESAs],MATCH('District RPDC'!A7,Data[Label],0))</f>
        <v>16</v>
      </c>
    </row>
    <row r="14" spans="1:5" ht="18.3" x14ac:dyDescent="0.7">
      <c r="A14" s="148" t="s">
        <v>399</v>
      </c>
    </row>
    <row r="15" spans="1:5" ht="18.3" x14ac:dyDescent="0.7">
      <c r="A15" s="25" t="s">
        <v>406</v>
      </c>
    </row>
    <row r="16" spans="1:5" ht="18.3" x14ac:dyDescent="0.7">
      <c r="A16" s="25" t="s">
        <v>430</v>
      </c>
    </row>
    <row r="17" spans="1:6" ht="18.3" x14ac:dyDescent="0.7">
      <c r="A17" s="25" t="s">
        <v>431</v>
      </c>
    </row>
    <row r="18" spans="1:6" ht="18.3" x14ac:dyDescent="0.7">
      <c r="A18" s="25"/>
    </row>
    <row r="19" spans="1:6" x14ac:dyDescent="0.55000000000000004">
      <c r="D19" s="147"/>
      <c r="E19" s="147"/>
      <c r="F19" s="147"/>
    </row>
    <row r="20" spans="1:6" ht="18.3" x14ac:dyDescent="0.7">
      <c r="A20" s="148" t="s">
        <v>401</v>
      </c>
    </row>
    <row r="21" spans="1:6" ht="18.3" x14ac:dyDescent="0.7">
      <c r="A21" s="25" t="s">
        <v>416</v>
      </c>
    </row>
    <row r="22" spans="1:6" ht="18.3" x14ac:dyDescent="0.7">
      <c r="A22" s="6" t="s">
        <v>402</v>
      </c>
    </row>
    <row r="23" spans="1:6" ht="18.3" x14ac:dyDescent="0.7">
      <c r="A23" s="25" t="s">
        <v>403</v>
      </c>
    </row>
    <row r="24" spans="1:6" ht="18.3" x14ac:dyDescent="0.7">
      <c r="A24" s="25" t="s">
        <v>404</v>
      </c>
    </row>
    <row r="25" spans="1:6" ht="18.3" x14ac:dyDescent="0.7">
      <c r="A25" s="25" t="s">
        <v>405</v>
      </c>
    </row>
    <row r="29" spans="1:6" x14ac:dyDescent="0.55000000000000004">
      <c r="E29" s="36" t="s">
        <v>456</v>
      </c>
    </row>
  </sheetData>
  <mergeCells count="1">
    <mergeCell ref="A5:E5"/>
  </mergeCells>
  <pageMargins left="0.7" right="0.7" top="0.75" bottom="0.75" header="0.3" footer="0.3"/>
  <pageSetup scale="8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'Percentage Selection'!$A$2:$A$42</xm:f>
          </x14:formula1>
          <xm:sqref>C7</xm:sqref>
        </x14:dataValidation>
        <x14:dataValidation type="list" allowBlank="1" showInputMessage="1" showErrorMessage="1">
          <x14:formula1>
            <xm:f>Sheet1!$D$2:$D$327</xm:f>
          </x14:formula1>
          <xm:sqref>A7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7"/>
  <sheetViews>
    <sheetView topLeftCell="A196" workbookViewId="0">
      <selection activeCell="C226" sqref="C226"/>
    </sheetView>
  </sheetViews>
  <sheetFormatPr defaultRowHeight="14.4" x14ac:dyDescent="0.55000000000000004"/>
  <cols>
    <col min="3" max="3" width="9.41796875" bestFit="1" customWidth="1"/>
    <col min="4" max="4" width="35.41796875" bestFit="1" customWidth="1"/>
    <col min="5" max="6" width="26.15625" customWidth="1"/>
    <col min="7" max="9" width="23.15625" customWidth="1"/>
    <col min="10" max="10" width="12.578125" customWidth="1"/>
    <col min="11" max="11" width="30" bestFit="1" customWidth="1"/>
    <col min="12" max="13" width="12" customWidth="1"/>
    <col min="14" max="15" width="25.41796875" customWidth="1"/>
    <col min="16" max="16" width="12.578125" customWidth="1"/>
    <col min="20" max="20" width="18.15625" bestFit="1" customWidth="1"/>
    <col min="21" max="21" width="35.15625" bestFit="1" customWidth="1"/>
    <col min="22" max="22" width="26.83984375" bestFit="1" customWidth="1"/>
  </cols>
  <sheetData>
    <row r="1" spans="1:23" x14ac:dyDescent="0.55000000000000004">
      <c r="A1" t="s">
        <v>0</v>
      </c>
      <c r="B1" t="s">
        <v>1</v>
      </c>
      <c r="C1" t="s">
        <v>414</v>
      </c>
      <c r="D1" t="s">
        <v>2</v>
      </c>
      <c r="E1" t="s">
        <v>329</v>
      </c>
      <c r="F1" t="s">
        <v>350</v>
      </c>
      <c r="G1" t="s">
        <v>331</v>
      </c>
      <c r="H1" t="s">
        <v>349</v>
      </c>
      <c r="I1" t="s">
        <v>353</v>
      </c>
      <c r="J1" t="s">
        <v>332</v>
      </c>
      <c r="K1" t="s">
        <v>354</v>
      </c>
      <c r="L1" t="s">
        <v>333</v>
      </c>
      <c r="M1" t="s">
        <v>355</v>
      </c>
      <c r="N1" t="s">
        <v>334</v>
      </c>
      <c r="O1" t="s">
        <v>356</v>
      </c>
      <c r="P1" t="s">
        <v>335</v>
      </c>
      <c r="Q1" t="s">
        <v>357</v>
      </c>
      <c r="R1" t="s">
        <v>374</v>
      </c>
      <c r="S1" t="s">
        <v>376</v>
      </c>
      <c r="T1" t="s">
        <v>378</v>
      </c>
      <c r="U1" t="s">
        <v>377</v>
      </c>
      <c r="V1" t="s">
        <v>413</v>
      </c>
      <c r="W1" t="s">
        <v>415</v>
      </c>
    </row>
    <row r="2" spans="1:23" x14ac:dyDescent="0.55000000000000004">
      <c r="A2" s="1">
        <v>7</v>
      </c>
      <c r="B2" s="1">
        <v>38</v>
      </c>
      <c r="C2" s="1">
        <v>9</v>
      </c>
      <c r="D2" t="s">
        <v>3</v>
      </c>
      <c r="E2">
        <v>704.3</v>
      </c>
      <c r="F2">
        <v>19</v>
      </c>
      <c r="G2">
        <v>8058</v>
      </c>
      <c r="H2" s="38">
        <v>5675249</v>
      </c>
      <c r="I2" s="38">
        <v>0</v>
      </c>
      <c r="J2">
        <v>984.45</v>
      </c>
      <c r="K2">
        <v>0</v>
      </c>
      <c r="L2">
        <v>77.400000000000006</v>
      </c>
      <c r="M2">
        <v>0</v>
      </c>
      <c r="N2">
        <v>70.27</v>
      </c>
      <c r="O2">
        <v>0</v>
      </c>
      <c r="P2">
        <v>385.29</v>
      </c>
      <c r="Q2">
        <v>0</v>
      </c>
      <c r="R2" s="56">
        <v>65.290000000000006</v>
      </c>
      <c r="S2" s="56">
        <v>72.78</v>
      </c>
      <c r="T2">
        <v>519938707</v>
      </c>
      <c r="U2">
        <v>520611128</v>
      </c>
      <c r="V2">
        <v>692.6</v>
      </c>
      <c r="W2">
        <v>16</v>
      </c>
    </row>
    <row r="3" spans="1:23" x14ac:dyDescent="0.55000000000000004">
      <c r="A3" s="1">
        <v>13</v>
      </c>
      <c r="B3" s="1">
        <v>78</v>
      </c>
      <c r="C3" s="1">
        <v>441</v>
      </c>
      <c r="D3" t="s">
        <v>4</v>
      </c>
      <c r="E3">
        <v>788.2</v>
      </c>
      <c r="F3">
        <v>2</v>
      </c>
      <c r="G3">
        <v>7993</v>
      </c>
      <c r="H3" s="38">
        <v>6300083</v>
      </c>
      <c r="I3" s="38">
        <v>0</v>
      </c>
      <c r="J3">
        <v>1040.94</v>
      </c>
      <c r="K3">
        <v>0</v>
      </c>
      <c r="L3">
        <v>66.42</v>
      </c>
      <c r="M3">
        <v>0</v>
      </c>
      <c r="N3">
        <v>73.66</v>
      </c>
      <c r="O3">
        <v>0</v>
      </c>
      <c r="P3">
        <v>385.29</v>
      </c>
      <c r="Q3">
        <v>0</v>
      </c>
      <c r="R3" s="56">
        <v>64.989999999999995</v>
      </c>
      <c r="S3" s="56">
        <v>71.86</v>
      </c>
      <c r="T3">
        <v>603923767</v>
      </c>
      <c r="U3">
        <v>633242043</v>
      </c>
      <c r="V3">
        <v>763.2</v>
      </c>
      <c r="W3">
        <v>8</v>
      </c>
    </row>
    <row r="4" spans="1:23" x14ac:dyDescent="0.55000000000000004">
      <c r="A4" s="1">
        <v>11</v>
      </c>
      <c r="B4" s="1">
        <v>39</v>
      </c>
      <c r="C4" s="1">
        <v>18</v>
      </c>
      <c r="D4" t="s">
        <v>5</v>
      </c>
      <c r="E4">
        <v>294.10000000000002</v>
      </c>
      <c r="F4">
        <v>0</v>
      </c>
      <c r="G4">
        <v>7988</v>
      </c>
      <c r="H4" s="38">
        <v>2349271</v>
      </c>
      <c r="I4" s="38">
        <v>0</v>
      </c>
      <c r="J4">
        <v>1446.45</v>
      </c>
      <c r="K4">
        <v>0</v>
      </c>
      <c r="L4">
        <v>74.89</v>
      </c>
      <c r="M4">
        <v>0</v>
      </c>
      <c r="N4">
        <v>82.54</v>
      </c>
      <c r="O4">
        <v>0</v>
      </c>
      <c r="P4">
        <v>385.29</v>
      </c>
      <c r="Q4">
        <v>0</v>
      </c>
      <c r="R4" s="56">
        <v>64.86</v>
      </c>
      <c r="S4" s="56">
        <v>71.28</v>
      </c>
      <c r="T4">
        <v>196634383</v>
      </c>
      <c r="U4">
        <v>359799414</v>
      </c>
      <c r="V4">
        <v>293.2</v>
      </c>
      <c r="W4">
        <v>0</v>
      </c>
    </row>
    <row r="5" spans="1:23" x14ac:dyDescent="0.55000000000000004">
      <c r="A5" s="1">
        <v>11</v>
      </c>
      <c r="B5" s="1">
        <v>25</v>
      </c>
      <c r="C5" s="1">
        <v>27</v>
      </c>
      <c r="D5" t="s">
        <v>6</v>
      </c>
      <c r="E5">
        <v>2171</v>
      </c>
      <c r="F5">
        <v>28</v>
      </c>
      <c r="G5">
        <v>7988</v>
      </c>
      <c r="H5" s="38">
        <v>17341948</v>
      </c>
      <c r="I5" s="38">
        <v>0</v>
      </c>
      <c r="J5">
        <v>824.07</v>
      </c>
      <c r="K5">
        <v>0</v>
      </c>
      <c r="L5">
        <v>75.81</v>
      </c>
      <c r="M5">
        <v>0</v>
      </c>
      <c r="N5">
        <v>79.42</v>
      </c>
      <c r="O5">
        <v>0</v>
      </c>
      <c r="P5">
        <v>385.29</v>
      </c>
      <c r="Q5">
        <v>0</v>
      </c>
      <c r="R5" s="56">
        <v>64.86</v>
      </c>
      <c r="S5" s="56">
        <v>71.28</v>
      </c>
      <c r="T5">
        <v>792640623</v>
      </c>
      <c r="U5">
        <v>835920543</v>
      </c>
      <c r="V5">
        <v>2192.4</v>
      </c>
      <c r="W5">
        <v>62</v>
      </c>
    </row>
    <row r="6" spans="1:23" x14ac:dyDescent="0.55000000000000004">
      <c r="A6" s="1">
        <v>12</v>
      </c>
      <c r="B6" s="1">
        <v>75</v>
      </c>
      <c r="C6" s="1">
        <v>63</v>
      </c>
      <c r="D6" t="s">
        <v>7</v>
      </c>
      <c r="E6">
        <v>527.4</v>
      </c>
      <c r="F6">
        <v>8</v>
      </c>
      <c r="G6">
        <v>7999</v>
      </c>
      <c r="H6" s="38">
        <v>4218673</v>
      </c>
      <c r="I6" s="38">
        <v>38553</v>
      </c>
      <c r="J6">
        <v>1102.44</v>
      </c>
      <c r="K6">
        <v>0</v>
      </c>
      <c r="L6">
        <v>83.03</v>
      </c>
      <c r="M6">
        <v>0</v>
      </c>
      <c r="N6">
        <v>81.569999999999993</v>
      </c>
      <c r="O6">
        <v>0</v>
      </c>
      <c r="P6">
        <v>385.29</v>
      </c>
      <c r="Q6">
        <v>0</v>
      </c>
      <c r="R6" s="56">
        <v>65.27</v>
      </c>
      <c r="S6" s="56">
        <v>73.06</v>
      </c>
      <c r="T6">
        <v>264084710</v>
      </c>
      <c r="U6">
        <v>264084710</v>
      </c>
      <c r="V6">
        <v>515.20000000000005</v>
      </c>
      <c r="W6">
        <v>16</v>
      </c>
    </row>
    <row r="7" spans="1:23" x14ac:dyDescent="0.55000000000000004">
      <c r="A7" s="1">
        <v>5</v>
      </c>
      <c r="B7" s="1">
        <v>11</v>
      </c>
      <c r="C7" s="1">
        <v>72</v>
      </c>
      <c r="D7" t="s">
        <v>8</v>
      </c>
      <c r="E7">
        <v>206.3</v>
      </c>
      <c r="F7">
        <v>7</v>
      </c>
      <c r="G7">
        <v>8029</v>
      </c>
      <c r="H7" s="38">
        <v>1656383</v>
      </c>
      <c r="I7" s="38">
        <v>0</v>
      </c>
      <c r="J7">
        <v>1280.79</v>
      </c>
      <c r="K7">
        <v>0</v>
      </c>
      <c r="L7">
        <v>54.19</v>
      </c>
      <c r="M7">
        <v>0</v>
      </c>
      <c r="N7">
        <v>56.84</v>
      </c>
      <c r="O7">
        <v>0</v>
      </c>
      <c r="P7">
        <v>385.29</v>
      </c>
      <c r="Q7">
        <v>0</v>
      </c>
      <c r="R7" s="56">
        <v>65.34</v>
      </c>
      <c r="S7" s="56">
        <v>73.16</v>
      </c>
      <c r="T7">
        <v>201794338</v>
      </c>
      <c r="U7">
        <v>201794338</v>
      </c>
      <c r="V7">
        <v>192.3</v>
      </c>
      <c r="W7">
        <v>8</v>
      </c>
    </row>
    <row r="8" spans="1:23" x14ac:dyDescent="0.55000000000000004">
      <c r="A8" s="1">
        <v>15</v>
      </c>
      <c r="B8" s="1">
        <v>68</v>
      </c>
      <c r="C8" s="1">
        <v>81</v>
      </c>
      <c r="D8" t="s">
        <v>9</v>
      </c>
      <c r="E8">
        <v>1080.8</v>
      </c>
      <c r="F8">
        <v>4</v>
      </c>
      <c r="G8">
        <v>7988</v>
      </c>
      <c r="H8" s="38">
        <v>8633430</v>
      </c>
      <c r="I8" s="38">
        <v>0</v>
      </c>
      <c r="J8">
        <v>846.3</v>
      </c>
      <c r="K8">
        <v>0</v>
      </c>
      <c r="L8">
        <v>77.38</v>
      </c>
      <c r="M8">
        <v>0</v>
      </c>
      <c r="N8">
        <v>76.38</v>
      </c>
      <c r="O8">
        <v>0</v>
      </c>
      <c r="P8">
        <v>385.29</v>
      </c>
      <c r="Q8">
        <v>0</v>
      </c>
      <c r="R8" s="56">
        <v>64.959999999999994</v>
      </c>
      <c r="S8" s="56">
        <v>71.430000000000007</v>
      </c>
      <c r="T8">
        <v>369048732</v>
      </c>
      <c r="U8">
        <v>369048732</v>
      </c>
      <c r="V8">
        <v>1074.2</v>
      </c>
      <c r="W8">
        <v>5</v>
      </c>
    </row>
    <row r="9" spans="1:23" x14ac:dyDescent="0.55000000000000004">
      <c r="A9" s="1">
        <v>10</v>
      </c>
      <c r="B9" s="1">
        <v>57</v>
      </c>
      <c r="C9" s="1">
        <v>99</v>
      </c>
      <c r="D9" t="s">
        <v>10</v>
      </c>
      <c r="E9">
        <v>541.5</v>
      </c>
      <c r="F9">
        <v>15</v>
      </c>
      <c r="G9">
        <v>7988</v>
      </c>
      <c r="H9" s="38">
        <v>4325502</v>
      </c>
      <c r="I9" s="38">
        <v>0</v>
      </c>
      <c r="J9">
        <v>1140.3699999999999</v>
      </c>
      <c r="K9">
        <v>0</v>
      </c>
      <c r="L9">
        <v>79.62</v>
      </c>
      <c r="M9">
        <v>0</v>
      </c>
      <c r="N9">
        <v>69.44</v>
      </c>
      <c r="O9">
        <v>0</v>
      </c>
      <c r="P9">
        <v>385.29</v>
      </c>
      <c r="Q9">
        <v>0</v>
      </c>
      <c r="R9" s="56">
        <v>64.98</v>
      </c>
      <c r="S9" s="56">
        <v>71.459999999999994</v>
      </c>
      <c r="T9">
        <v>279810725</v>
      </c>
      <c r="U9">
        <v>282662379</v>
      </c>
      <c r="V9">
        <v>526.29999999999995</v>
      </c>
      <c r="W9">
        <v>23</v>
      </c>
    </row>
    <row r="10" spans="1:23" x14ac:dyDescent="0.55000000000000004">
      <c r="A10" s="1">
        <v>7</v>
      </c>
      <c r="B10" s="1">
        <v>42</v>
      </c>
      <c r="C10" s="1">
        <v>108</v>
      </c>
      <c r="D10" t="s">
        <v>11</v>
      </c>
      <c r="E10">
        <v>253.4</v>
      </c>
      <c r="F10">
        <v>0</v>
      </c>
      <c r="G10">
        <v>7988</v>
      </c>
      <c r="H10" s="38">
        <v>2024159</v>
      </c>
      <c r="I10" s="38">
        <v>88650</v>
      </c>
      <c r="J10">
        <v>1464.48</v>
      </c>
      <c r="K10">
        <v>0</v>
      </c>
      <c r="L10">
        <v>71.08</v>
      </c>
      <c r="M10">
        <v>581</v>
      </c>
      <c r="N10">
        <v>90.25</v>
      </c>
      <c r="O10">
        <v>811</v>
      </c>
      <c r="P10">
        <v>385.29</v>
      </c>
      <c r="Q10">
        <v>3338</v>
      </c>
      <c r="R10" s="56">
        <v>65.290000000000006</v>
      </c>
      <c r="S10" s="56">
        <v>72.78</v>
      </c>
      <c r="T10">
        <v>169614247</v>
      </c>
      <c r="U10">
        <v>169614247</v>
      </c>
      <c r="V10">
        <v>243.2</v>
      </c>
      <c r="W10">
        <v>0</v>
      </c>
    </row>
    <row r="11" spans="1:23" x14ac:dyDescent="0.55000000000000004">
      <c r="A11" s="1">
        <v>5</v>
      </c>
      <c r="B11" s="1">
        <v>55</v>
      </c>
      <c r="C11" s="1">
        <v>126</v>
      </c>
      <c r="D11" t="s">
        <v>12</v>
      </c>
      <c r="E11">
        <v>1447.2</v>
      </c>
      <c r="F11">
        <v>247</v>
      </c>
      <c r="G11">
        <v>7997</v>
      </c>
      <c r="H11" s="38">
        <v>11573258</v>
      </c>
      <c r="I11" s="38">
        <v>0</v>
      </c>
      <c r="J11">
        <v>786.83</v>
      </c>
      <c r="K11">
        <v>0</v>
      </c>
      <c r="L11">
        <v>82.88</v>
      </c>
      <c r="M11">
        <v>0</v>
      </c>
      <c r="N11">
        <v>69.89</v>
      </c>
      <c r="O11">
        <v>0</v>
      </c>
      <c r="P11">
        <v>385.29</v>
      </c>
      <c r="Q11">
        <v>0</v>
      </c>
      <c r="R11" s="56">
        <v>65.34</v>
      </c>
      <c r="S11" s="56">
        <v>73.16</v>
      </c>
      <c r="T11">
        <v>1170693665</v>
      </c>
      <c r="U11">
        <v>1207567688</v>
      </c>
      <c r="V11">
        <v>1422.1</v>
      </c>
      <c r="W11">
        <v>337</v>
      </c>
    </row>
    <row r="12" spans="1:23" x14ac:dyDescent="0.55000000000000004">
      <c r="A12" s="1">
        <v>1</v>
      </c>
      <c r="B12" s="1">
        <v>3</v>
      </c>
      <c r="C12" s="1">
        <v>135</v>
      </c>
      <c r="D12" t="s">
        <v>13</v>
      </c>
      <c r="E12">
        <v>1104.7</v>
      </c>
      <c r="F12">
        <v>138</v>
      </c>
      <c r="G12">
        <v>8030</v>
      </c>
      <c r="H12" s="38">
        <v>8870741</v>
      </c>
      <c r="I12" s="38">
        <v>0</v>
      </c>
      <c r="J12">
        <v>920.9</v>
      </c>
      <c r="K12">
        <v>0</v>
      </c>
      <c r="L12">
        <v>72.260000000000005</v>
      </c>
      <c r="M12">
        <v>0</v>
      </c>
      <c r="N12">
        <v>79.290000000000006</v>
      </c>
      <c r="O12">
        <v>0</v>
      </c>
      <c r="P12">
        <v>385.29</v>
      </c>
      <c r="Q12">
        <v>0</v>
      </c>
      <c r="R12" s="56">
        <v>65.260000000000005</v>
      </c>
      <c r="S12" s="56">
        <v>72.69</v>
      </c>
      <c r="T12">
        <v>648918717</v>
      </c>
      <c r="U12">
        <v>668359796</v>
      </c>
      <c r="V12">
        <v>1090.5</v>
      </c>
      <c r="W12">
        <v>140</v>
      </c>
    </row>
    <row r="13" spans="1:23" x14ac:dyDescent="0.55000000000000004">
      <c r="A13" s="1">
        <v>5</v>
      </c>
      <c r="B13" s="1">
        <v>11</v>
      </c>
      <c r="C13" s="1">
        <v>171</v>
      </c>
      <c r="D13" t="s">
        <v>14</v>
      </c>
      <c r="E13">
        <v>855.6</v>
      </c>
      <c r="F13">
        <v>13</v>
      </c>
      <c r="G13">
        <v>7988</v>
      </c>
      <c r="H13" s="38">
        <v>6834533</v>
      </c>
      <c r="I13" s="38">
        <v>0</v>
      </c>
      <c r="J13">
        <v>1121.53</v>
      </c>
      <c r="K13">
        <v>0</v>
      </c>
      <c r="L13">
        <v>84.77</v>
      </c>
      <c r="M13">
        <v>0</v>
      </c>
      <c r="N13">
        <v>90.53</v>
      </c>
      <c r="O13">
        <v>0</v>
      </c>
      <c r="P13">
        <v>385.29</v>
      </c>
      <c r="Q13">
        <v>0</v>
      </c>
      <c r="R13" s="56">
        <v>65.34</v>
      </c>
      <c r="S13" s="56">
        <v>73.16</v>
      </c>
      <c r="T13">
        <v>533833766</v>
      </c>
      <c r="U13">
        <v>605173778</v>
      </c>
      <c r="V13">
        <v>887.3</v>
      </c>
      <c r="W13">
        <v>12</v>
      </c>
    </row>
    <row r="14" spans="1:23" x14ac:dyDescent="0.55000000000000004">
      <c r="A14" s="1">
        <v>11</v>
      </c>
      <c r="B14" s="1">
        <v>85</v>
      </c>
      <c r="C14" s="1">
        <v>225</v>
      </c>
      <c r="D14" t="s">
        <v>15</v>
      </c>
      <c r="E14">
        <v>4534</v>
      </c>
      <c r="F14">
        <v>126</v>
      </c>
      <c r="G14">
        <v>8038</v>
      </c>
      <c r="H14" s="38">
        <v>36444292</v>
      </c>
      <c r="I14" s="38">
        <v>0</v>
      </c>
      <c r="J14">
        <v>742.38</v>
      </c>
      <c r="K14">
        <v>0</v>
      </c>
      <c r="L14">
        <v>83</v>
      </c>
      <c r="M14">
        <v>0</v>
      </c>
      <c r="N14">
        <v>77.36</v>
      </c>
      <c r="O14">
        <v>0</v>
      </c>
      <c r="P14">
        <v>385.29</v>
      </c>
      <c r="Q14">
        <v>0</v>
      </c>
      <c r="R14" s="56">
        <v>64.86</v>
      </c>
      <c r="S14" s="56">
        <v>71.28</v>
      </c>
      <c r="T14">
        <v>3317388507</v>
      </c>
      <c r="U14">
        <v>3333815007</v>
      </c>
      <c r="V14">
        <v>4468.8999999999996</v>
      </c>
      <c r="W14">
        <v>163</v>
      </c>
    </row>
    <row r="15" spans="1:23" x14ac:dyDescent="0.55000000000000004">
      <c r="A15" s="1">
        <v>10</v>
      </c>
      <c r="B15" s="1">
        <v>53</v>
      </c>
      <c r="C15" s="1">
        <v>234</v>
      </c>
      <c r="D15" t="s">
        <v>16</v>
      </c>
      <c r="E15">
        <v>1202.2</v>
      </c>
      <c r="F15">
        <v>47</v>
      </c>
      <c r="G15">
        <v>7988</v>
      </c>
      <c r="H15" s="38">
        <v>9603174</v>
      </c>
      <c r="I15" s="38">
        <v>330900</v>
      </c>
      <c r="J15">
        <v>1052.26</v>
      </c>
      <c r="K15">
        <v>0</v>
      </c>
      <c r="L15">
        <v>84.15</v>
      </c>
      <c r="M15">
        <v>960</v>
      </c>
      <c r="N15">
        <v>76.58</v>
      </c>
      <c r="O15">
        <v>518</v>
      </c>
      <c r="P15">
        <v>385.29</v>
      </c>
      <c r="Q15">
        <v>3639</v>
      </c>
      <c r="R15" s="56">
        <v>64.98</v>
      </c>
      <c r="S15" s="56">
        <v>71.459999999999994</v>
      </c>
      <c r="T15">
        <v>503518102</v>
      </c>
      <c r="U15">
        <v>510735099</v>
      </c>
      <c r="V15">
        <v>1199.7</v>
      </c>
      <c r="W15">
        <v>68</v>
      </c>
    </row>
    <row r="16" spans="1:23" x14ac:dyDescent="0.55000000000000004">
      <c r="A16" s="1">
        <v>9</v>
      </c>
      <c r="B16" s="1">
        <v>49</v>
      </c>
      <c r="C16" s="1">
        <v>243</v>
      </c>
      <c r="D16" t="s">
        <v>17</v>
      </c>
      <c r="E16">
        <v>217.3</v>
      </c>
      <c r="F16">
        <v>21</v>
      </c>
      <c r="G16">
        <v>8013</v>
      </c>
      <c r="H16" s="38">
        <v>1741225</v>
      </c>
      <c r="I16" s="38">
        <v>20247</v>
      </c>
      <c r="J16">
        <v>1332.64</v>
      </c>
      <c r="K16">
        <v>0</v>
      </c>
      <c r="L16">
        <v>80.62</v>
      </c>
      <c r="M16">
        <v>0</v>
      </c>
      <c r="N16">
        <v>91.7</v>
      </c>
      <c r="O16">
        <v>0</v>
      </c>
      <c r="P16">
        <v>385.29</v>
      </c>
      <c r="Q16">
        <v>0</v>
      </c>
      <c r="R16" s="56">
        <v>64.8</v>
      </c>
      <c r="S16" s="56">
        <v>70.86</v>
      </c>
      <c r="T16">
        <v>138460218</v>
      </c>
      <c r="U16">
        <v>138460218</v>
      </c>
      <c r="V16">
        <v>219</v>
      </c>
      <c r="W16">
        <v>31</v>
      </c>
    </row>
    <row r="17" spans="1:23" x14ac:dyDescent="0.55000000000000004">
      <c r="A17" s="1">
        <v>11</v>
      </c>
      <c r="B17" s="1">
        <v>77</v>
      </c>
      <c r="C17" s="1">
        <v>261</v>
      </c>
      <c r="D17" t="s">
        <v>18</v>
      </c>
      <c r="E17">
        <v>12753.8</v>
      </c>
      <c r="F17">
        <v>776</v>
      </c>
      <c r="G17">
        <v>7988</v>
      </c>
      <c r="H17" s="38">
        <v>101877354</v>
      </c>
      <c r="I17" s="38">
        <v>0</v>
      </c>
      <c r="J17">
        <v>714.22</v>
      </c>
      <c r="K17">
        <v>0</v>
      </c>
      <c r="L17">
        <v>70.06</v>
      </c>
      <c r="M17">
        <v>0</v>
      </c>
      <c r="N17">
        <v>73.94</v>
      </c>
      <c r="O17">
        <v>0</v>
      </c>
      <c r="P17">
        <v>385.29</v>
      </c>
      <c r="Q17">
        <v>0</v>
      </c>
      <c r="R17" s="56">
        <v>64.86</v>
      </c>
      <c r="S17" s="56">
        <v>71.28</v>
      </c>
      <c r="T17">
        <v>5815591532</v>
      </c>
      <c r="U17">
        <v>6095633572</v>
      </c>
      <c r="V17">
        <v>12682</v>
      </c>
      <c r="W17">
        <v>1326</v>
      </c>
    </row>
    <row r="18" spans="1:23" x14ac:dyDescent="0.55000000000000004">
      <c r="A18" s="1">
        <v>7</v>
      </c>
      <c r="B18" s="1">
        <v>12</v>
      </c>
      <c r="C18" s="1">
        <v>279</v>
      </c>
      <c r="D18" t="s">
        <v>19</v>
      </c>
      <c r="E18">
        <v>794.2</v>
      </c>
      <c r="F18">
        <v>24</v>
      </c>
      <c r="G18">
        <v>7988</v>
      </c>
      <c r="H18" s="38">
        <v>6344070</v>
      </c>
      <c r="I18" s="38">
        <v>0</v>
      </c>
      <c r="J18">
        <v>1014.71</v>
      </c>
      <c r="K18">
        <v>0</v>
      </c>
      <c r="L18">
        <v>79.48</v>
      </c>
      <c r="M18">
        <v>0</v>
      </c>
      <c r="N18">
        <v>92.37</v>
      </c>
      <c r="O18">
        <v>0</v>
      </c>
      <c r="P18">
        <v>385.29</v>
      </c>
      <c r="Q18">
        <v>0</v>
      </c>
      <c r="R18" s="56">
        <v>65.290000000000006</v>
      </c>
      <c r="S18" s="56">
        <v>72.78</v>
      </c>
      <c r="T18">
        <v>353181749</v>
      </c>
      <c r="U18">
        <v>374039938</v>
      </c>
      <c r="V18">
        <v>775</v>
      </c>
      <c r="W18">
        <v>26</v>
      </c>
    </row>
    <row r="19" spans="1:23" x14ac:dyDescent="0.55000000000000004">
      <c r="A19" s="1">
        <v>12</v>
      </c>
      <c r="B19" s="1">
        <v>24</v>
      </c>
      <c r="C19" s="1">
        <v>355</v>
      </c>
      <c r="D19" t="s">
        <v>20</v>
      </c>
      <c r="E19">
        <v>281.7</v>
      </c>
      <c r="F19">
        <v>57</v>
      </c>
      <c r="G19">
        <v>7988</v>
      </c>
      <c r="H19" s="38">
        <v>2250220</v>
      </c>
      <c r="I19" s="38">
        <v>63357</v>
      </c>
      <c r="J19">
        <v>1273.48</v>
      </c>
      <c r="K19">
        <v>0</v>
      </c>
      <c r="L19">
        <v>71.53</v>
      </c>
      <c r="M19">
        <v>0</v>
      </c>
      <c r="N19">
        <v>73.97</v>
      </c>
      <c r="O19">
        <v>0</v>
      </c>
      <c r="P19">
        <v>385.29</v>
      </c>
      <c r="Q19">
        <v>0</v>
      </c>
      <c r="R19" s="56">
        <v>65.27</v>
      </c>
      <c r="S19" s="56">
        <v>73.06</v>
      </c>
      <c r="T19">
        <v>309687167</v>
      </c>
      <c r="U19">
        <v>323692402</v>
      </c>
      <c r="V19">
        <v>267.60000000000002</v>
      </c>
      <c r="W19">
        <v>63</v>
      </c>
    </row>
    <row r="20" spans="1:23" x14ac:dyDescent="0.55000000000000004">
      <c r="A20" s="1">
        <v>13</v>
      </c>
      <c r="B20" s="1">
        <v>15</v>
      </c>
      <c r="C20" s="1">
        <v>387</v>
      </c>
      <c r="D20" t="s">
        <v>21</v>
      </c>
      <c r="E20">
        <v>1452.3</v>
      </c>
      <c r="F20">
        <v>0</v>
      </c>
      <c r="G20">
        <v>7988</v>
      </c>
      <c r="H20" s="38">
        <v>11600972</v>
      </c>
      <c r="I20" s="38">
        <v>0</v>
      </c>
      <c r="J20">
        <v>865.3</v>
      </c>
      <c r="K20">
        <v>0</v>
      </c>
      <c r="L20">
        <v>81.67</v>
      </c>
      <c r="M20">
        <v>0</v>
      </c>
      <c r="N20">
        <v>91.12</v>
      </c>
      <c r="O20">
        <v>0</v>
      </c>
      <c r="P20">
        <v>385.29</v>
      </c>
      <c r="Q20">
        <v>0</v>
      </c>
      <c r="R20" s="56">
        <v>64.989999999999995</v>
      </c>
      <c r="S20" s="56">
        <v>71.86</v>
      </c>
      <c r="T20">
        <v>566098495</v>
      </c>
      <c r="U20">
        <v>611499510</v>
      </c>
      <c r="V20">
        <v>1375.2</v>
      </c>
      <c r="W20">
        <v>0</v>
      </c>
    </row>
    <row r="21" spans="1:23" x14ac:dyDescent="0.55000000000000004">
      <c r="A21" s="1">
        <v>11</v>
      </c>
      <c r="B21" s="1">
        <v>5</v>
      </c>
      <c r="C21" s="1">
        <v>414</v>
      </c>
      <c r="D21" t="s">
        <v>22</v>
      </c>
      <c r="E21">
        <v>494.5</v>
      </c>
      <c r="F21">
        <v>7</v>
      </c>
      <c r="G21">
        <v>8027</v>
      </c>
      <c r="H21" s="38">
        <v>3969352</v>
      </c>
      <c r="I21" s="38">
        <v>88459</v>
      </c>
      <c r="J21">
        <v>1147.79</v>
      </c>
      <c r="K21">
        <v>0</v>
      </c>
      <c r="L21">
        <v>81.010000000000005</v>
      </c>
      <c r="M21">
        <v>430</v>
      </c>
      <c r="N21">
        <v>74.86</v>
      </c>
      <c r="O21">
        <v>266</v>
      </c>
      <c r="P21">
        <v>385.29</v>
      </c>
      <c r="Q21">
        <v>1880</v>
      </c>
      <c r="R21" s="56">
        <v>64.86</v>
      </c>
      <c r="S21" s="56">
        <v>71.28</v>
      </c>
      <c r="T21">
        <v>366768384</v>
      </c>
      <c r="U21">
        <v>404431015</v>
      </c>
      <c r="V21">
        <v>521.1</v>
      </c>
      <c r="W21">
        <v>9</v>
      </c>
    </row>
    <row r="22" spans="1:23" x14ac:dyDescent="0.55000000000000004">
      <c r="A22" s="1">
        <v>7</v>
      </c>
      <c r="B22" s="1">
        <v>38</v>
      </c>
      <c r="C22" s="1">
        <v>540</v>
      </c>
      <c r="D22" t="s">
        <v>23</v>
      </c>
      <c r="E22">
        <v>443</v>
      </c>
      <c r="F22">
        <v>4</v>
      </c>
      <c r="G22">
        <v>8029</v>
      </c>
      <c r="H22" s="38">
        <v>3556847</v>
      </c>
      <c r="I22" s="38">
        <v>0</v>
      </c>
      <c r="J22">
        <v>1329.82</v>
      </c>
      <c r="K22">
        <v>0</v>
      </c>
      <c r="L22">
        <v>77.209999999999994</v>
      </c>
      <c r="M22">
        <v>0</v>
      </c>
      <c r="N22">
        <v>75.209999999999994</v>
      </c>
      <c r="O22">
        <v>0</v>
      </c>
      <c r="P22">
        <v>385.29</v>
      </c>
      <c r="Q22">
        <v>0</v>
      </c>
      <c r="R22" s="56">
        <v>65.290000000000006</v>
      </c>
      <c r="S22" s="56">
        <v>72.78</v>
      </c>
      <c r="T22">
        <v>335957839</v>
      </c>
      <c r="U22">
        <v>343306860</v>
      </c>
      <c r="V22">
        <v>431.1</v>
      </c>
      <c r="W22">
        <v>4</v>
      </c>
    </row>
    <row r="23" spans="1:23" x14ac:dyDescent="0.55000000000000004">
      <c r="A23" s="1">
        <v>11</v>
      </c>
      <c r="B23" s="1">
        <v>85</v>
      </c>
      <c r="C23" s="1">
        <v>472</v>
      </c>
      <c r="D23" t="s">
        <v>24</v>
      </c>
      <c r="E23">
        <v>1767.4</v>
      </c>
      <c r="F23">
        <v>34</v>
      </c>
      <c r="G23">
        <v>7988</v>
      </c>
      <c r="H23" s="38">
        <v>14117991</v>
      </c>
      <c r="I23" s="38">
        <v>0</v>
      </c>
      <c r="J23">
        <v>783.94</v>
      </c>
      <c r="K23">
        <v>0</v>
      </c>
      <c r="L23">
        <v>68.95</v>
      </c>
      <c r="M23">
        <v>0</v>
      </c>
      <c r="N23">
        <v>80.290000000000006</v>
      </c>
      <c r="O23">
        <v>0</v>
      </c>
      <c r="P23">
        <v>385.29</v>
      </c>
      <c r="Q23">
        <v>0</v>
      </c>
      <c r="R23" s="56">
        <v>64.86</v>
      </c>
      <c r="S23" s="56">
        <v>71.28</v>
      </c>
      <c r="T23">
        <v>576015701</v>
      </c>
      <c r="U23">
        <v>694439586</v>
      </c>
      <c r="V23">
        <v>1767.7</v>
      </c>
      <c r="W23">
        <v>35</v>
      </c>
    </row>
    <row r="24" spans="1:23" x14ac:dyDescent="0.55000000000000004">
      <c r="A24" s="1">
        <v>11</v>
      </c>
      <c r="B24" s="1">
        <v>50</v>
      </c>
      <c r="C24" s="1">
        <v>513</v>
      </c>
      <c r="D24" t="s">
        <v>25</v>
      </c>
      <c r="E24">
        <v>341.1</v>
      </c>
      <c r="F24">
        <v>7</v>
      </c>
      <c r="G24">
        <v>7988</v>
      </c>
      <c r="H24" s="38">
        <v>2724707</v>
      </c>
      <c r="I24" s="38">
        <v>0</v>
      </c>
      <c r="J24">
        <v>1598.87</v>
      </c>
      <c r="K24">
        <v>0</v>
      </c>
      <c r="L24">
        <v>73.83</v>
      </c>
      <c r="M24">
        <v>0</v>
      </c>
      <c r="N24">
        <v>79.36</v>
      </c>
      <c r="O24">
        <v>0</v>
      </c>
      <c r="P24">
        <v>385.29</v>
      </c>
      <c r="Q24">
        <v>0</v>
      </c>
      <c r="R24" s="56">
        <v>64.86</v>
      </c>
      <c r="S24" s="56">
        <v>71.28</v>
      </c>
      <c r="T24">
        <v>140410088</v>
      </c>
      <c r="U24">
        <v>143596753</v>
      </c>
      <c r="V24">
        <v>347.1</v>
      </c>
      <c r="W24">
        <v>4</v>
      </c>
    </row>
    <row r="25" spans="1:23" x14ac:dyDescent="0.55000000000000004">
      <c r="A25" s="1">
        <v>13</v>
      </c>
      <c r="B25" s="1">
        <v>87</v>
      </c>
      <c r="C25" s="1">
        <v>549</v>
      </c>
      <c r="D25" t="s">
        <v>26</v>
      </c>
      <c r="E25">
        <v>498.5</v>
      </c>
      <c r="F25">
        <v>1</v>
      </c>
      <c r="G25">
        <v>7988</v>
      </c>
      <c r="H25" s="38">
        <v>3982018</v>
      </c>
      <c r="I25" s="38">
        <v>57059</v>
      </c>
      <c r="J25">
        <v>963.71</v>
      </c>
      <c r="K25">
        <v>0</v>
      </c>
      <c r="L25">
        <v>77.7</v>
      </c>
      <c r="M25">
        <v>269</v>
      </c>
      <c r="N25">
        <v>85.29</v>
      </c>
      <c r="O25">
        <v>300</v>
      </c>
      <c r="P25">
        <v>385.29</v>
      </c>
      <c r="Q25">
        <v>1329</v>
      </c>
      <c r="R25" s="56">
        <v>64.989999999999995</v>
      </c>
      <c r="S25" s="56">
        <v>71.86</v>
      </c>
      <c r="T25">
        <v>294888546</v>
      </c>
      <c r="U25">
        <v>294888546</v>
      </c>
      <c r="V25">
        <v>511.3</v>
      </c>
      <c r="W25">
        <v>2</v>
      </c>
    </row>
    <row r="26" spans="1:23" x14ac:dyDescent="0.55000000000000004">
      <c r="A26" s="1">
        <v>10</v>
      </c>
      <c r="B26" s="1">
        <v>6</v>
      </c>
      <c r="C26" s="1">
        <v>576</v>
      </c>
      <c r="D26" t="s">
        <v>27</v>
      </c>
      <c r="E26">
        <v>466.6</v>
      </c>
      <c r="F26">
        <v>1</v>
      </c>
      <c r="G26">
        <v>7988</v>
      </c>
      <c r="H26" s="38">
        <v>3727201</v>
      </c>
      <c r="I26" s="38">
        <v>19418</v>
      </c>
      <c r="J26">
        <v>1359.59</v>
      </c>
      <c r="K26">
        <v>0</v>
      </c>
      <c r="L26">
        <v>68.540000000000006</v>
      </c>
      <c r="M26">
        <v>0</v>
      </c>
      <c r="N26">
        <v>70.37</v>
      </c>
      <c r="O26">
        <v>0</v>
      </c>
      <c r="P26">
        <v>385.29</v>
      </c>
      <c r="Q26">
        <v>0</v>
      </c>
      <c r="R26" s="56">
        <v>64.98</v>
      </c>
      <c r="S26" s="56">
        <v>71.459999999999994</v>
      </c>
      <c r="T26">
        <v>190918979</v>
      </c>
      <c r="U26">
        <v>201548539</v>
      </c>
      <c r="V26">
        <v>462.3</v>
      </c>
      <c r="W26">
        <v>8</v>
      </c>
    </row>
    <row r="27" spans="1:23" x14ac:dyDescent="0.55000000000000004">
      <c r="A27" s="1">
        <v>9</v>
      </c>
      <c r="B27" s="1">
        <v>49</v>
      </c>
      <c r="C27" s="1">
        <v>585</v>
      </c>
      <c r="D27" t="s">
        <v>28</v>
      </c>
      <c r="E27">
        <v>603.70000000000005</v>
      </c>
      <c r="F27">
        <v>131</v>
      </c>
      <c r="G27">
        <v>8005</v>
      </c>
      <c r="H27" s="38">
        <v>4832619</v>
      </c>
      <c r="I27" s="38">
        <v>92103</v>
      </c>
      <c r="J27">
        <v>1005.03</v>
      </c>
      <c r="K27">
        <v>0</v>
      </c>
      <c r="L27">
        <v>78.12</v>
      </c>
      <c r="M27">
        <v>0</v>
      </c>
      <c r="N27">
        <v>73.94</v>
      </c>
      <c r="O27">
        <v>0</v>
      </c>
      <c r="P27">
        <v>385.29</v>
      </c>
      <c r="Q27">
        <v>0</v>
      </c>
      <c r="R27" s="56">
        <v>64.8</v>
      </c>
      <c r="S27" s="56">
        <v>70.86</v>
      </c>
      <c r="T27">
        <v>339503348</v>
      </c>
      <c r="U27">
        <v>353169246</v>
      </c>
      <c r="V27">
        <v>611.20000000000005</v>
      </c>
      <c r="W27">
        <v>180</v>
      </c>
    </row>
    <row r="28" spans="1:23" x14ac:dyDescent="0.55000000000000004">
      <c r="A28" s="1">
        <v>7</v>
      </c>
      <c r="B28" s="1">
        <v>99</v>
      </c>
      <c r="C28" s="1">
        <v>594</v>
      </c>
      <c r="D28" t="s">
        <v>29</v>
      </c>
      <c r="E28">
        <v>705.4</v>
      </c>
      <c r="F28">
        <v>0</v>
      </c>
      <c r="G28">
        <v>7988</v>
      </c>
      <c r="H28" s="38">
        <v>5634735</v>
      </c>
      <c r="I28" s="38">
        <v>270538</v>
      </c>
      <c r="J28">
        <v>1015.19</v>
      </c>
      <c r="K28">
        <v>0</v>
      </c>
      <c r="L28">
        <v>72.92</v>
      </c>
      <c r="M28">
        <v>1905</v>
      </c>
      <c r="N28">
        <v>84.33</v>
      </c>
      <c r="O28">
        <v>2277</v>
      </c>
      <c r="P28">
        <v>385.29</v>
      </c>
      <c r="Q28">
        <v>10426</v>
      </c>
      <c r="R28" s="56">
        <v>65.290000000000006</v>
      </c>
      <c r="S28" s="56">
        <v>72.78</v>
      </c>
      <c r="T28">
        <v>371780535</v>
      </c>
      <c r="U28">
        <v>376071332</v>
      </c>
      <c r="V28">
        <v>713.6</v>
      </c>
      <c r="W28">
        <v>2</v>
      </c>
    </row>
    <row r="29" spans="1:23" x14ac:dyDescent="0.55000000000000004">
      <c r="A29" s="1">
        <v>9</v>
      </c>
      <c r="B29" s="1">
        <v>16</v>
      </c>
      <c r="C29" s="1">
        <v>603</v>
      </c>
      <c r="D29" t="s">
        <v>30</v>
      </c>
      <c r="E29">
        <v>165.1</v>
      </c>
      <c r="F29">
        <v>5</v>
      </c>
      <c r="G29">
        <v>8079</v>
      </c>
      <c r="H29" s="38">
        <v>1333843</v>
      </c>
      <c r="I29" s="38">
        <v>0</v>
      </c>
      <c r="J29">
        <v>1296.82</v>
      </c>
      <c r="K29">
        <v>0</v>
      </c>
      <c r="L29">
        <v>51.47</v>
      </c>
      <c r="M29">
        <v>0</v>
      </c>
      <c r="N29">
        <v>78.959999999999994</v>
      </c>
      <c r="O29">
        <v>0</v>
      </c>
      <c r="P29">
        <v>385.29</v>
      </c>
      <c r="Q29">
        <v>0</v>
      </c>
      <c r="R29" s="56">
        <v>64.8</v>
      </c>
      <c r="S29" s="56">
        <v>70.86</v>
      </c>
      <c r="T29">
        <v>133732699</v>
      </c>
      <c r="U29">
        <v>133732699</v>
      </c>
      <c r="V29">
        <v>155.4</v>
      </c>
      <c r="W29">
        <v>5</v>
      </c>
    </row>
    <row r="30" spans="1:23" x14ac:dyDescent="0.55000000000000004">
      <c r="A30" s="1">
        <v>10</v>
      </c>
      <c r="B30" s="1">
        <v>6</v>
      </c>
      <c r="C30" s="1">
        <v>609</v>
      </c>
      <c r="D30" t="s">
        <v>31</v>
      </c>
      <c r="E30">
        <v>1475.6</v>
      </c>
      <c r="F30">
        <v>119</v>
      </c>
      <c r="G30">
        <v>8013</v>
      </c>
      <c r="H30" s="38">
        <v>11823983</v>
      </c>
      <c r="I30" s="38">
        <v>0</v>
      </c>
      <c r="J30">
        <v>814.09</v>
      </c>
      <c r="K30">
        <v>0</v>
      </c>
      <c r="L30">
        <v>74.760000000000005</v>
      </c>
      <c r="M30">
        <v>0</v>
      </c>
      <c r="N30">
        <v>71.760000000000005</v>
      </c>
      <c r="O30">
        <v>0</v>
      </c>
      <c r="P30">
        <v>385.29</v>
      </c>
      <c r="Q30">
        <v>0</v>
      </c>
      <c r="R30" s="56">
        <v>64.98</v>
      </c>
      <c r="S30" s="56">
        <v>71.459999999999994</v>
      </c>
      <c r="T30">
        <v>812464654</v>
      </c>
      <c r="U30">
        <v>842523537</v>
      </c>
      <c r="V30">
        <v>1426.1</v>
      </c>
      <c r="W30">
        <v>154</v>
      </c>
    </row>
    <row r="31" spans="1:23" x14ac:dyDescent="0.55000000000000004">
      <c r="A31" s="1">
        <v>9</v>
      </c>
      <c r="B31" s="1">
        <v>82</v>
      </c>
      <c r="C31" s="1">
        <v>621</v>
      </c>
      <c r="D31" t="s">
        <v>32</v>
      </c>
      <c r="E31">
        <v>3825.6</v>
      </c>
      <c r="F31">
        <v>265</v>
      </c>
      <c r="G31">
        <v>8022</v>
      </c>
      <c r="H31" s="38">
        <v>30688963</v>
      </c>
      <c r="I31" s="38">
        <v>708314</v>
      </c>
      <c r="J31">
        <v>746.59</v>
      </c>
      <c r="K31">
        <v>0</v>
      </c>
      <c r="L31">
        <v>76.42</v>
      </c>
      <c r="M31">
        <v>0</v>
      </c>
      <c r="N31">
        <v>77.739999999999995</v>
      </c>
      <c r="O31">
        <v>0</v>
      </c>
      <c r="P31">
        <v>385.29</v>
      </c>
      <c r="Q31">
        <v>0</v>
      </c>
      <c r="R31" s="56">
        <v>64.8</v>
      </c>
      <c r="S31" s="56">
        <v>70.86</v>
      </c>
      <c r="T31">
        <v>1809816618</v>
      </c>
      <c r="U31">
        <v>1899473908</v>
      </c>
      <c r="V31">
        <v>3776.9</v>
      </c>
      <c r="W31">
        <v>387</v>
      </c>
    </row>
    <row r="32" spans="1:23" x14ac:dyDescent="0.55000000000000004">
      <c r="A32" s="1">
        <v>11</v>
      </c>
      <c r="B32" s="1">
        <v>77</v>
      </c>
      <c r="C32" s="1">
        <v>720</v>
      </c>
      <c r="D32" t="s">
        <v>33</v>
      </c>
      <c r="E32">
        <v>2662.4</v>
      </c>
      <c r="F32">
        <v>59</v>
      </c>
      <c r="G32">
        <v>7988</v>
      </c>
      <c r="H32" s="38">
        <v>21267251</v>
      </c>
      <c r="I32" s="38">
        <v>0</v>
      </c>
      <c r="J32">
        <v>758.93</v>
      </c>
      <c r="K32">
        <v>0</v>
      </c>
      <c r="L32">
        <v>68.930000000000007</v>
      </c>
      <c r="M32">
        <v>0</v>
      </c>
      <c r="N32">
        <v>79.78</v>
      </c>
      <c r="O32">
        <v>0</v>
      </c>
      <c r="P32">
        <v>385.29</v>
      </c>
      <c r="Q32">
        <v>0</v>
      </c>
      <c r="R32" s="56">
        <v>64.86</v>
      </c>
      <c r="S32" s="56">
        <v>71.28</v>
      </c>
      <c r="T32">
        <v>936860779</v>
      </c>
      <c r="U32">
        <v>1234451242</v>
      </c>
      <c r="V32">
        <v>2636.4</v>
      </c>
      <c r="W32">
        <v>97</v>
      </c>
    </row>
    <row r="33" spans="1:23" x14ac:dyDescent="0.55000000000000004">
      <c r="A33" s="1">
        <v>11</v>
      </c>
      <c r="B33" s="1">
        <v>8</v>
      </c>
      <c r="C33" s="1">
        <v>729</v>
      </c>
      <c r="D33" t="s">
        <v>34</v>
      </c>
      <c r="E33">
        <v>1984</v>
      </c>
      <c r="F33">
        <v>147</v>
      </c>
      <c r="G33">
        <v>7988</v>
      </c>
      <c r="H33" s="38">
        <v>15848192</v>
      </c>
      <c r="I33" s="38">
        <v>0</v>
      </c>
      <c r="J33">
        <v>759.22</v>
      </c>
      <c r="K33">
        <v>0</v>
      </c>
      <c r="L33">
        <v>85.27</v>
      </c>
      <c r="M33">
        <v>0</v>
      </c>
      <c r="N33">
        <v>80.27</v>
      </c>
      <c r="O33">
        <v>0</v>
      </c>
      <c r="P33">
        <v>385.29</v>
      </c>
      <c r="Q33">
        <v>0</v>
      </c>
      <c r="R33" s="56">
        <v>64.86</v>
      </c>
      <c r="S33" s="56">
        <v>71.28</v>
      </c>
      <c r="T33">
        <v>711184697</v>
      </c>
      <c r="U33">
        <v>732546298</v>
      </c>
      <c r="V33">
        <v>1999.6</v>
      </c>
      <c r="W33">
        <v>149</v>
      </c>
    </row>
    <row r="34" spans="1:23" x14ac:dyDescent="0.55000000000000004">
      <c r="A34" s="1">
        <v>12</v>
      </c>
      <c r="B34" s="1">
        <v>84</v>
      </c>
      <c r="C34" s="1">
        <v>747</v>
      </c>
      <c r="D34" t="s">
        <v>35</v>
      </c>
      <c r="E34">
        <v>546.70000000000005</v>
      </c>
      <c r="F34">
        <v>336</v>
      </c>
      <c r="G34">
        <v>7988</v>
      </c>
      <c r="H34" s="38">
        <v>4367040</v>
      </c>
      <c r="I34" s="38">
        <v>87801</v>
      </c>
      <c r="J34">
        <v>934.71</v>
      </c>
      <c r="K34">
        <v>0</v>
      </c>
      <c r="L34">
        <v>74.81</v>
      </c>
      <c r="M34">
        <v>0</v>
      </c>
      <c r="N34">
        <v>89.65</v>
      </c>
      <c r="O34">
        <v>0</v>
      </c>
      <c r="P34">
        <v>385.29</v>
      </c>
      <c r="Q34">
        <v>0</v>
      </c>
      <c r="R34" s="56">
        <v>65.27</v>
      </c>
      <c r="S34" s="56">
        <v>73.06</v>
      </c>
      <c r="T34">
        <v>310950542</v>
      </c>
      <c r="U34">
        <v>389427175</v>
      </c>
      <c r="V34">
        <v>531.20000000000005</v>
      </c>
      <c r="W34">
        <v>406</v>
      </c>
    </row>
    <row r="35" spans="1:23" x14ac:dyDescent="0.55000000000000004">
      <c r="A35" s="1">
        <v>13</v>
      </c>
      <c r="B35" s="1">
        <v>43</v>
      </c>
      <c r="C35" s="1">
        <v>1917</v>
      </c>
      <c r="D35" t="s">
        <v>36</v>
      </c>
      <c r="E35">
        <v>387.2</v>
      </c>
      <c r="F35">
        <v>3</v>
      </c>
      <c r="G35">
        <v>7988</v>
      </c>
      <c r="H35" s="38">
        <v>3092954</v>
      </c>
      <c r="I35" s="38">
        <v>0</v>
      </c>
      <c r="J35">
        <v>1230.19</v>
      </c>
      <c r="K35">
        <v>0</v>
      </c>
      <c r="L35">
        <v>89.98</v>
      </c>
      <c r="M35">
        <v>0</v>
      </c>
      <c r="N35">
        <v>87.01</v>
      </c>
      <c r="O35">
        <v>0</v>
      </c>
      <c r="P35">
        <v>385.29</v>
      </c>
      <c r="Q35">
        <v>0</v>
      </c>
      <c r="R35" s="56">
        <v>64.989999999999995</v>
      </c>
      <c r="S35" s="56">
        <v>71.86</v>
      </c>
      <c r="T35">
        <v>294280870</v>
      </c>
      <c r="U35">
        <v>300477446</v>
      </c>
      <c r="V35">
        <v>395.3</v>
      </c>
      <c r="W35">
        <v>3</v>
      </c>
    </row>
    <row r="36" spans="1:23" x14ac:dyDescent="0.55000000000000004">
      <c r="A36" s="1">
        <v>7</v>
      </c>
      <c r="B36" s="1">
        <v>79</v>
      </c>
      <c r="C36" s="1">
        <v>846</v>
      </c>
      <c r="D36" t="s">
        <v>37</v>
      </c>
      <c r="E36">
        <v>518.4</v>
      </c>
      <c r="F36">
        <v>0</v>
      </c>
      <c r="G36">
        <v>7988</v>
      </c>
      <c r="H36" s="38">
        <v>4140979</v>
      </c>
      <c r="I36" s="38">
        <v>0</v>
      </c>
      <c r="J36">
        <v>1135.19</v>
      </c>
      <c r="K36">
        <v>0</v>
      </c>
      <c r="L36">
        <v>73.22</v>
      </c>
      <c r="M36">
        <v>0</v>
      </c>
      <c r="N36">
        <v>78.38</v>
      </c>
      <c r="O36">
        <v>0</v>
      </c>
      <c r="P36">
        <v>385.29</v>
      </c>
      <c r="Q36">
        <v>0</v>
      </c>
      <c r="R36" s="56">
        <v>65.290000000000006</v>
      </c>
      <c r="S36" s="56">
        <v>72.78</v>
      </c>
      <c r="T36">
        <v>322928431</v>
      </c>
      <c r="U36">
        <v>358965747</v>
      </c>
      <c r="V36">
        <v>490</v>
      </c>
      <c r="W36">
        <v>5</v>
      </c>
    </row>
    <row r="37" spans="1:23" x14ac:dyDescent="0.55000000000000004">
      <c r="A37" s="1">
        <v>15</v>
      </c>
      <c r="B37" s="1">
        <v>29</v>
      </c>
      <c r="C37" s="1">
        <v>882</v>
      </c>
      <c r="D37" t="s">
        <v>38</v>
      </c>
      <c r="E37">
        <v>3673.1</v>
      </c>
      <c r="F37">
        <v>235</v>
      </c>
      <c r="G37">
        <v>7988</v>
      </c>
      <c r="H37" s="38">
        <v>29340723</v>
      </c>
      <c r="I37" s="38">
        <v>668591</v>
      </c>
      <c r="J37">
        <v>856.09</v>
      </c>
      <c r="K37">
        <v>0</v>
      </c>
      <c r="L37">
        <v>74.510000000000005</v>
      </c>
      <c r="M37">
        <v>0</v>
      </c>
      <c r="N37">
        <v>91.02</v>
      </c>
      <c r="O37">
        <v>0</v>
      </c>
      <c r="P37">
        <v>385.29</v>
      </c>
      <c r="Q37">
        <v>0</v>
      </c>
      <c r="R37" s="56">
        <v>64.959999999999994</v>
      </c>
      <c r="S37" s="56">
        <v>71.430000000000007</v>
      </c>
      <c r="T37">
        <v>1054140322</v>
      </c>
      <c r="U37">
        <v>1169132900</v>
      </c>
      <c r="V37">
        <v>3560.2</v>
      </c>
      <c r="W37">
        <v>347</v>
      </c>
    </row>
    <row r="38" spans="1:23" x14ac:dyDescent="0.55000000000000004">
      <c r="A38" s="1">
        <v>7</v>
      </c>
      <c r="B38" s="1">
        <v>35</v>
      </c>
      <c r="C38" s="1">
        <v>916</v>
      </c>
      <c r="D38" t="s">
        <v>39</v>
      </c>
      <c r="E38">
        <v>277.10000000000002</v>
      </c>
      <c r="F38">
        <v>14</v>
      </c>
      <c r="G38">
        <v>8118</v>
      </c>
      <c r="H38" s="38">
        <v>2249498</v>
      </c>
      <c r="I38" s="38">
        <v>41272</v>
      </c>
      <c r="J38">
        <v>1236.8800000000001</v>
      </c>
      <c r="K38">
        <v>0</v>
      </c>
      <c r="L38">
        <v>84.09</v>
      </c>
      <c r="M38">
        <v>0</v>
      </c>
      <c r="N38">
        <v>86.91</v>
      </c>
      <c r="O38">
        <v>0</v>
      </c>
      <c r="P38">
        <v>385.29</v>
      </c>
      <c r="Q38">
        <v>0</v>
      </c>
      <c r="R38" s="56">
        <v>65.290000000000006</v>
      </c>
      <c r="S38" s="56">
        <v>72.78</v>
      </c>
      <c r="T38">
        <v>201946288</v>
      </c>
      <c r="U38">
        <v>201946288</v>
      </c>
      <c r="V38">
        <v>270.89999999999998</v>
      </c>
      <c r="W38">
        <v>21</v>
      </c>
    </row>
    <row r="39" spans="1:23" x14ac:dyDescent="0.55000000000000004">
      <c r="A39" s="1">
        <v>13</v>
      </c>
      <c r="B39" s="1">
        <v>15</v>
      </c>
      <c r="C39" s="1">
        <v>914</v>
      </c>
      <c r="D39" t="s">
        <v>40</v>
      </c>
      <c r="E39">
        <v>419.4</v>
      </c>
      <c r="F39">
        <v>2</v>
      </c>
      <c r="G39">
        <v>7998</v>
      </c>
      <c r="H39" s="38">
        <v>3354361</v>
      </c>
      <c r="I39" s="38">
        <v>190367</v>
      </c>
      <c r="J39">
        <v>1746.55</v>
      </c>
      <c r="K39">
        <v>0</v>
      </c>
      <c r="L39">
        <v>75.23</v>
      </c>
      <c r="M39">
        <v>1291</v>
      </c>
      <c r="N39">
        <v>77.75</v>
      </c>
      <c r="O39">
        <v>1294</v>
      </c>
      <c r="P39">
        <v>385.29</v>
      </c>
      <c r="Q39">
        <v>6715</v>
      </c>
      <c r="R39" s="56">
        <v>64.989999999999995</v>
      </c>
      <c r="S39" s="56">
        <v>71.86</v>
      </c>
      <c r="T39">
        <v>490817093</v>
      </c>
      <c r="U39">
        <v>546078626</v>
      </c>
      <c r="V39">
        <v>395.7</v>
      </c>
      <c r="W39">
        <v>2</v>
      </c>
    </row>
    <row r="40" spans="1:23" x14ac:dyDescent="0.55000000000000004">
      <c r="A40" s="1">
        <v>9</v>
      </c>
      <c r="B40" s="1">
        <v>23</v>
      </c>
      <c r="C40" s="1">
        <v>918</v>
      </c>
      <c r="D40" t="s">
        <v>41</v>
      </c>
      <c r="E40">
        <v>350.6</v>
      </c>
      <c r="F40">
        <v>3</v>
      </c>
      <c r="G40">
        <v>8007</v>
      </c>
      <c r="H40" s="38">
        <v>2807254</v>
      </c>
      <c r="I40" s="38">
        <v>65242</v>
      </c>
      <c r="J40">
        <v>1433.78</v>
      </c>
      <c r="K40">
        <v>0</v>
      </c>
      <c r="L40">
        <v>81.93</v>
      </c>
      <c r="M40">
        <v>163</v>
      </c>
      <c r="N40">
        <v>86.55</v>
      </c>
      <c r="O40">
        <v>152</v>
      </c>
      <c r="P40">
        <v>385.29</v>
      </c>
      <c r="Q40">
        <v>616</v>
      </c>
      <c r="R40" s="56">
        <v>64.8</v>
      </c>
      <c r="S40" s="56">
        <v>70.86</v>
      </c>
      <c r="T40">
        <v>227379569</v>
      </c>
      <c r="U40">
        <v>227379569</v>
      </c>
      <c r="V40">
        <v>375</v>
      </c>
      <c r="W40">
        <v>4</v>
      </c>
    </row>
    <row r="41" spans="1:23" x14ac:dyDescent="0.55000000000000004">
      <c r="A41" s="1">
        <v>9</v>
      </c>
      <c r="B41" s="1">
        <v>23</v>
      </c>
      <c r="C41" s="1">
        <v>936</v>
      </c>
      <c r="D41" t="s">
        <v>42</v>
      </c>
      <c r="E41">
        <v>808.3</v>
      </c>
      <c r="F41">
        <v>17</v>
      </c>
      <c r="G41">
        <v>7988</v>
      </c>
      <c r="H41" s="38">
        <v>6456700</v>
      </c>
      <c r="I41" s="38">
        <v>42973</v>
      </c>
      <c r="J41">
        <v>1370.91</v>
      </c>
      <c r="K41">
        <v>0</v>
      </c>
      <c r="L41">
        <v>73.94</v>
      </c>
      <c r="M41">
        <v>0</v>
      </c>
      <c r="N41">
        <v>86.71</v>
      </c>
      <c r="O41">
        <v>0</v>
      </c>
      <c r="P41">
        <v>385.29</v>
      </c>
      <c r="Q41">
        <v>0</v>
      </c>
      <c r="R41" s="56">
        <v>64.8</v>
      </c>
      <c r="S41" s="56">
        <v>70.86</v>
      </c>
      <c r="T41">
        <v>389052816</v>
      </c>
      <c r="U41">
        <v>395944650</v>
      </c>
      <c r="V41">
        <v>746.4</v>
      </c>
      <c r="W41">
        <v>23</v>
      </c>
    </row>
    <row r="42" spans="1:23" x14ac:dyDescent="0.55000000000000004">
      <c r="A42" s="1">
        <v>15</v>
      </c>
      <c r="B42" s="1">
        <v>90</v>
      </c>
      <c r="C42" s="1">
        <v>977</v>
      </c>
      <c r="D42" t="s">
        <v>43</v>
      </c>
      <c r="E42">
        <v>546.70000000000005</v>
      </c>
      <c r="F42">
        <v>3</v>
      </c>
      <c r="G42">
        <v>7988</v>
      </c>
      <c r="H42" s="38">
        <v>4367040</v>
      </c>
      <c r="I42" s="38">
        <v>0</v>
      </c>
      <c r="J42">
        <v>1707.79</v>
      </c>
      <c r="K42">
        <v>0</v>
      </c>
      <c r="L42">
        <v>68.59</v>
      </c>
      <c r="M42">
        <v>0</v>
      </c>
      <c r="N42">
        <v>88.6</v>
      </c>
      <c r="O42">
        <v>0</v>
      </c>
      <c r="P42">
        <v>385.29</v>
      </c>
      <c r="Q42">
        <v>0</v>
      </c>
      <c r="R42" s="56">
        <v>64.959999999999994</v>
      </c>
      <c r="S42" s="56">
        <v>71.430000000000007</v>
      </c>
      <c r="T42">
        <v>202278372</v>
      </c>
      <c r="U42">
        <v>202278372</v>
      </c>
      <c r="V42">
        <v>536.9</v>
      </c>
      <c r="W42">
        <v>6</v>
      </c>
    </row>
    <row r="43" spans="1:23" x14ac:dyDescent="0.55000000000000004">
      <c r="A43" s="1">
        <v>11</v>
      </c>
      <c r="B43" s="1">
        <v>91</v>
      </c>
      <c r="C43" s="1">
        <v>981</v>
      </c>
      <c r="D43" t="s">
        <v>44</v>
      </c>
      <c r="E43">
        <v>1927.2</v>
      </c>
      <c r="F43">
        <v>60</v>
      </c>
      <c r="G43">
        <v>7988</v>
      </c>
      <c r="H43" s="38">
        <v>15394474</v>
      </c>
      <c r="I43" s="38">
        <v>293901</v>
      </c>
      <c r="J43">
        <v>786.54</v>
      </c>
      <c r="K43">
        <v>0</v>
      </c>
      <c r="L43">
        <v>69.290000000000006</v>
      </c>
      <c r="M43">
        <v>0</v>
      </c>
      <c r="N43">
        <v>81.47</v>
      </c>
      <c r="O43">
        <v>0</v>
      </c>
      <c r="P43">
        <v>385.29</v>
      </c>
      <c r="Q43">
        <v>0</v>
      </c>
      <c r="R43" s="56">
        <v>64.86</v>
      </c>
      <c r="S43" s="56">
        <v>71.28</v>
      </c>
      <c r="T43">
        <v>487983840</v>
      </c>
      <c r="U43">
        <v>519710924</v>
      </c>
      <c r="V43">
        <v>1883.8</v>
      </c>
      <c r="W43">
        <v>86</v>
      </c>
    </row>
    <row r="44" spans="1:23" x14ac:dyDescent="0.55000000000000004">
      <c r="A44" s="1">
        <v>11</v>
      </c>
      <c r="B44" s="1">
        <v>14</v>
      </c>
      <c r="C44" s="1">
        <v>999</v>
      </c>
      <c r="D44" t="s">
        <v>45</v>
      </c>
      <c r="E44">
        <v>1549.1</v>
      </c>
      <c r="F44">
        <v>672</v>
      </c>
      <c r="G44">
        <v>7988</v>
      </c>
      <c r="H44" s="38">
        <v>12374211</v>
      </c>
      <c r="I44" s="38">
        <v>380893</v>
      </c>
      <c r="J44">
        <v>792.21</v>
      </c>
      <c r="K44">
        <v>0</v>
      </c>
      <c r="L44">
        <v>76.5</v>
      </c>
      <c r="M44">
        <v>0</v>
      </c>
      <c r="N44">
        <v>78.02</v>
      </c>
      <c r="O44">
        <v>0</v>
      </c>
      <c r="P44">
        <v>385.29</v>
      </c>
      <c r="Q44">
        <v>0</v>
      </c>
      <c r="R44" s="56">
        <v>64.86</v>
      </c>
      <c r="S44" s="56">
        <v>71.28</v>
      </c>
      <c r="T44">
        <v>1162589981</v>
      </c>
      <c r="U44">
        <v>1230254541</v>
      </c>
      <c r="V44">
        <v>1464.7</v>
      </c>
      <c r="W44">
        <v>981</v>
      </c>
    </row>
    <row r="45" spans="1:23" x14ac:dyDescent="0.55000000000000004">
      <c r="A45" s="1">
        <v>7</v>
      </c>
      <c r="B45" s="1">
        <v>7</v>
      </c>
      <c r="C45" s="1">
        <v>1044</v>
      </c>
      <c r="D45" t="s">
        <v>46</v>
      </c>
      <c r="E45">
        <v>5464.8</v>
      </c>
      <c r="F45">
        <v>260</v>
      </c>
      <c r="G45">
        <v>7988</v>
      </c>
      <c r="H45" s="38">
        <v>43652822</v>
      </c>
      <c r="I45" s="38">
        <v>19795</v>
      </c>
      <c r="J45">
        <v>731.69</v>
      </c>
      <c r="K45">
        <v>0</v>
      </c>
      <c r="L45">
        <v>79.36</v>
      </c>
      <c r="M45">
        <v>0</v>
      </c>
      <c r="N45">
        <v>80.28</v>
      </c>
      <c r="O45">
        <v>0</v>
      </c>
      <c r="P45">
        <v>385.29</v>
      </c>
      <c r="Q45">
        <v>0</v>
      </c>
      <c r="R45" s="56">
        <v>65.290000000000006</v>
      </c>
      <c r="S45" s="56">
        <v>72.78</v>
      </c>
      <c r="T45">
        <v>2398850007</v>
      </c>
      <c r="U45">
        <v>2617915268</v>
      </c>
      <c r="V45">
        <v>5395.1</v>
      </c>
      <c r="W45">
        <v>426</v>
      </c>
    </row>
    <row r="46" spans="1:23" x14ac:dyDescent="0.55000000000000004">
      <c r="A46" s="1">
        <v>10</v>
      </c>
      <c r="B46" s="1">
        <v>57</v>
      </c>
      <c r="C46" s="1">
        <v>1053</v>
      </c>
      <c r="D46" t="s">
        <v>47</v>
      </c>
      <c r="E46">
        <v>16120.7</v>
      </c>
      <c r="F46">
        <v>1327</v>
      </c>
      <c r="G46">
        <v>7988</v>
      </c>
      <c r="H46" s="38">
        <v>128772152</v>
      </c>
      <c r="I46" s="38">
        <v>0</v>
      </c>
      <c r="J46">
        <v>736.27</v>
      </c>
      <c r="K46">
        <v>0</v>
      </c>
      <c r="L46">
        <v>78.95</v>
      </c>
      <c r="M46">
        <v>0</v>
      </c>
      <c r="N46">
        <v>86.13</v>
      </c>
      <c r="O46">
        <v>0</v>
      </c>
      <c r="P46">
        <v>385.29</v>
      </c>
      <c r="Q46">
        <v>0</v>
      </c>
      <c r="R46" s="56">
        <v>64.98</v>
      </c>
      <c r="S46" s="56">
        <v>71.459999999999994</v>
      </c>
      <c r="T46">
        <v>6425199981</v>
      </c>
      <c r="U46">
        <v>7041246048</v>
      </c>
      <c r="V46">
        <v>15901.2</v>
      </c>
      <c r="W46">
        <v>2300</v>
      </c>
    </row>
    <row r="47" spans="1:23" x14ac:dyDescent="0.55000000000000004">
      <c r="A47" s="1">
        <v>10</v>
      </c>
      <c r="B47" s="1">
        <v>57</v>
      </c>
      <c r="C47" s="1">
        <v>1062</v>
      </c>
      <c r="D47" t="s">
        <v>48</v>
      </c>
      <c r="E47">
        <v>1131.2</v>
      </c>
      <c r="F47">
        <v>4</v>
      </c>
      <c r="G47">
        <v>7988</v>
      </c>
      <c r="H47" s="38">
        <v>9036026</v>
      </c>
      <c r="I47" s="38">
        <v>245156</v>
      </c>
      <c r="J47">
        <v>903.82</v>
      </c>
      <c r="K47">
        <v>0</v>
      </c>
      <c r="L47">
        <v>75.58</v>
      </c>
      <c r="M47">
        <v>1534</v>
      </c>
      <c r="N47">
        <v>78.62</v>
      </c>
      <c r="O47">
        <v>1502</v>
      </c>
      <c r="P47">
        <v>385.29</v>
      </c>
      <c r="Q47">
        <v>8050</v>
      </c>
      <c r="R47" s="56">
        <v>64.98</v>
      </c>
      <c r="S47" s="56">
        <v>71.459999999999994</v>
      </c>
      <c r="T47">
        <v>400252461</v>
      </c>
      <c r="U47">
        <v>411752551</v>
      </c>
      <c r="V47">
        <v>1080.0999999999999</v>
      </c>
      <c r="W47">
        <v>12</v>
      </c>
    </row>
    <row r="48" spans="1:23" x14ac:dyDescent="0.55000000000000004">
      <c r="A48" s="1">
        <v>15</v>
      </c>
      <c r="B48" s="1">
        <v>4</v>
      </c>
      <c r="C48" s="1">
        <v>1071</v>
      </c>
      <c r="D48" t="s">
        <v>49</v>
      </c>
      <c r="E48">
        <v>1264.0999999999999</v>
      </c>
      <c r="F48">
        <v>0</v>
      </c>
      <c r="G48">
        <v>8007</v>
      </c>
      <c r="H48" s="38">
        <v>10121649</v>
      </c>
      <c r="I48" s="38">
        <v>427220</v>
      </c>
      <c r="J48">
        <v>905.8</v>
      </c>
      <c r="K48">
        <v>0</v>
      </c>
      <c r="L48">
        <v>78.38</v>
      </c>
      <c r="M48">
        <v>3182</v>
      </c>
      <c r="N48">
        <v>83.23</v>
      </c>
      <c r="O48">
        <v>3318</v>
      </c>
      <c r="P48">
        <v>385.29</v>
      </c>
      <c r="Q48">
        <v>15538</v>
      </c>
      <c r="R48" s="56">
        <v>64.959999999999994</v>
      </c>
      <c r="S48" s="56">
        <v>71.430000000000007</v>
      </c>
      <c r="T48">
        <v>344333345</v>
      </c>
      <c r="U48">
        <v>344998448</v>
      </c>
      <c r="V48">
        <v>1206.0999999999999</v>
      </c>
      <c r="W48">
        <v>0</v>
      </c>
    </row>
    <row r="49" spans="1:23" x14ac:dyDescent="0.55000000000000004">
      <c r="A49" s="1">
        <v>10</v>
      </c>
      <c r="B49" s="1">
        <v>57</v>
      </c>
      <c r="C49" s="1">
        <v>1089</v>
      </c>
      <c r="D49" t="s">
        <v>50</v>
      </c>
      <c r="E49">
        <v>411.3</v>
      </c>
      <c r="F49">
        <v>8</v>
      </c>
      <c r="G49">
        <v>8009</v>
      </c>
      <c r="H49" s="38">
        <v>3294102</v>
      </c>
      <c r="I49" s="38">
        <v>43854</v>
      </c>
      <c r="J49">
        <v>1509.3</v>
      </c>
      <c r="K49">
        <v>0</v>
      </c>
      <c r="L49">
        <v>73.06</v>
      </c>
      <c r="M49">
        <v>0</v>
      </c>
      <c r="N49">
        <v>82.75</v>
      </c>
      <c r="O49">
        <v>1</v>
      </c>
      <c r="P49">
        <v>385.29</v>
      </c>
      <c r="Q49">
        <v>83</v>
      </c>
      <c r="R49" s="56">
        <v>64.98</v>
      </c>
      <c r="S49" s="56">
        <v>71.459999999999994</v>
      </c>
      <c r="T49">
        <v>187379536</v>
      </c>
      <c r="U49">
        <v>195896425</v>
      </c>
      <c r="V49">
        <v>390.6</v>
      </c>
      <c r="W49">
        <v>11</v>
      </c>
    </row>
    <row r="50" spans="1:23" x14ac:dyDescent="0.55000000000000004">
      <c r="A50" s="1">
        <v>1</v>
      </c>
      <c r="B50" s="1">
        <v>22</v>
      </c>
      <c r="C50" s="1">
        <v>1080</v>
      </c>
      <c r="D50" t="s">
        <v>51</v>
      </c>
      <c r="E50">
        <v>456.1</v>
      </c>
      <c r="F50">
        <v>0</v>
      </c>
      <c r="G50">
        <v>7988</v>
      </c>
      <c r="H50" s="38">
        <v>3643327</v>
      </c>
      <c r="I50" s="38">
        <v>50334</v>
      </c>
      <c r="J50">
        <v>1147.72</v>
      </c>
      <c r="K50">
        <v>0</v>
      </c>
      <c r="L50">
        <v>73.5</v>
      </c>
      <c r="M50">
        <v>113</v>
      </c>
      <c r="N50">
        <v>73.760000000000005</v>
      </c>
      <c r="O50">
        <v>50</v>
      </c>
      <c r="P50">
        <v>385.29</v>
      </c>
      <c r="Q50">
        <v>787</v>
      </c>
      <c r="R50" s="56">
        <v>65.260000000000005</v>
      </c>
      <c r="S50" s="56">
        <v>72.69</v>
      </c>
      <c r="T50">
        <v>222983496</v>
      </c>
      <c r="U50">
        <v>224716236</v>
      </c>
      <c r="V50">
        <v>452.3</v>
      </c>
      <c r="W50">
        <v>0</v>
      </c>
    </row>
    <row r="51" spans="1:23" x14ac:dyDescent="0.55000000000000004">
      <c r="A51" s="1">
        <v>9</v>
      </c>
      <c r="B51" s="1">
        <v>23</v>
      </c>
      <c r="C51" s="1">
        <v>1082</v>
      </c>
      <c r="D51" t="s">
        <v>52</v>
      </c>
      <c r="E51">
        <v>1460.4</v>
      </c>
      <c r="F51">
        <v>122</v>
      </c>
      <c r="G51">
        <v>7988</v>
      </c>
      <c r="H51" s="38">
        <v>11665675</v>
      </c>
      <c r="I51" s="38">
        <v>0</v>
      </c>
      <c r="J51">
        <v>1101.6600000000001</v>
      </c>
      <c r="K51">
        <v>0</v>
      </c>
      <c r="L51">
        <v>76.260000000000005</v>
      </c>
      <c r="M51">
        <v>0</v>
      </c>
      <c r="N51">
        <v>73.77</v>
      </c>
      <c r="O51">
        <v>0</v>
      </c>
      <c r="P51">
        <v>385.29</v>
      </c>
      <c r="Q51">
        <v>0</v>
      </c>
      <c r="R51" s="56">
        <v>64.8</v>
      </c>
      <c r="S51" s="56">
        <v>70.86</v>
      </c>
      <c r="T51">
        <v>649489936</v>
      </c>
      <c r="U51">
        <v>736802804</v>
      </c>
      <c r="V51">
        <v>1448.3</v>
      </c>
      <c r="W51">
        <v>171</v>
      </c>
    </row>
    <row r="52" spans="1:23" x14ac:dyDescent="0.55000000000000004">
      <c r="A52" s="1">
        <v>13</v>
      </c>
      <c r="B52" s="1">
        <v>27</v>
      </c>
      <c r="C52" s="1">
        <v>1093</v>
      </c>
      <c r="D52" t="s">
        <v>53</v>
      </c>
      <c r="E52">
        <v>601.5</v>
      </c>
      <c r="F52">
        <v>1</v>
      </c>
      <c r="G52">
        <v>7988</v>
      </c>
      <c r="H52" s="38">
        <v>4804782</v>
      </c>
      <c r="I52" s="38">
        <v>193872</v>
      </c>
      <c r="J52">
        <v>1277.72</v>
      </c>
      <c r="K52">
        <v>0</v>
      </c>
      <c r="L52">
        <v>74.31</v>
      </c>
      <c r="M52">
        <v>1260</v>
      </c>
      <c r="N52">
        <v>94.07</v>
      </c>
      <c r="O52">
        <v>1763</v>
      </c>
      <c r="P52">
        <v>385.29</v>
      </c>
      <c r="Q52">
        <v>6746</v>
      </c>
      <c r="R52" s="56">
        <v>64.989999999999995</v>
      </c>
      <c r="S52" s="56">
        <v>71.86</v>
      </c>
      <c r="T52">
        <v>184943151</v>
      </c>
      <c r="U52">
        <v>184943151</v>
      </c>
      <c r="V52">
        <v>562.20000000000005</v>
      </c>
      <c r="W52">
        <v>2</v>
      </c>
    </row>
    <row r="53" spans="1:23" x14ac:dyDescent="0.55000000000000004">
      <c r="A53" s="1">
        <v>15</v>
      </c>
      <c r="B53" s="1">
        <v>56</v>
      </c>
      <c r="C53" s="1">
        <v>1079</v>
      </c>
      <c r="D53" t="s">
        <v>54</v>
      </c>
      <c r="E53">
        <v>844.8</v>
      </c>
      <c r="F53">
        <v>15</v>
      </c>
      <c r="G53">
        <v>7988</v>
      </c>
      <c r="H53" s="38">
        <v>6748262</v>
      </c>
      <c r="I53" s="38">
        <v>0</v>
      </c>
      <c r="J53">
        <v>969.99</v>
      </c>
      <c r="K53">
        <v>0</v>
      </c>
      <c r="L53">
        <v>89.75</v>
      </c>
      <c r="M53">
        <v>0</v>
      </c>
      <c r="N53">
        <v>79.23</v>
      </c>
      <c r="O53">
        <v>0</v>
      </c>
      <c r="P53">
        <v>385.29</v>
      </c>
      <c r="Q53">
        <v>0</v>
      </c>
      <c r="R53" s="56">
        <v>64.959999999999994</v>
      </c>
      <c r="S53" s="56">
        <v>71.430000000000007</v>
      </c>
      <c r="T53">
        <v>422504497</v>
      </c>
      <c r="U53">
        <v>422504497</v>
      </c>
      <c r="V53">
        <v>830.3</v>
      </c>
      <c r="W53">
        <v>21</v>
      </c>
    </row>
    <row r="54" spans="1:23" x14ac:dyDescent="0.55000000000000004">
      <c r="A54" s="1">
        <v>12</v>
      </c>
      <c r="B54" s="1">
        <v>60</v>
      </c>
      <c r="C54" s="1">
        <v>1095</v>
      </c>
      <c r="D54" t="s">
        <v>55</v>
      </c>
      <c r="E54">
        <v>732.8</v>
      </c>
      <c r="F54">
        <v>119</v>
      </c>
      <c r="G54">
        <v>7988</v>
      </c>
      <c r="H54" s="38">
        <v>5853606</v>
      </c>
      <c r="I54" s="38">
        <v>148889</v>
      </c>
      <c r="J54">
        <v>1170.73</v>
      </c>
      <c r="K54">
        <v>0</v>
      </c>
      <c r="L54">
        <v>76.819999999999993</v>
      </c>
      <c r="M54">
        <v>0</v>
      </c>
      <c r="N54">
        <v>72.930000000000007</v>
      </c>
      <c r="O54">
        <v>0</v>
      </c>
      <c r="P54">
        <v>385.29</v>
      </c>
      <c r="Q54">
        <v>0</v>
      </c>
      <c r="R54" s="56">
        <v>65.27</v>
      </c>
      <c r="S54" s="56">
        <v>73.06</v>
      </c>
      <c r="T54">
        <v>398406265</v>
      </c>
      <c r="U54">
        <v>406068181</v>
      </c>
      <c r="V54">
        <v>710.7</v>
      </c>
      <c r="W54">
        <v>141</v>
      </c>
    </row>
    <row r="55" spans="1:23" x14ac:dyDescent="0.55000000000000004">
      <c r="A55" s="1">
        <v>7</v>
      </c>
      <c r="B55" s="1">
        <v>98</v>
      </c>
      <c r="C55" s="1">
        <v>4772</v>
      </c>
      <c r="D55" t="s">
        <v>56</v>
      </c>
      <c r="E55">
        <v>766.6</v>
      </c>
      <c r="F55">
        <v>36</v>
      </c>
      <c r="G55">
        <v>7988</v>
      </c>
      <c r="H55" s="38">
        <v>6123601</v>
      </c>
      <c r="I55" s="38">
        <v>63854</v>
      </c>
      <c r="J55">
        <v>1043.68</v>
      </c>
      <c r="K55">
        <v>0</v>
      </c>
      <c r="L55">
        <v>80.38</v>
      </c>
      <c r="M55">
        <v>0</v>
      </c>
      <c r="N55">
        <v>75.569999999999993</v>
      </c>
      <c r="O55">
        <v>0</v>
      </c>
      <c r="P55">
        <v>385.29</v>
      </c>
      <c r="Q55">
        <v>0</v>
      </c>
      <c r="R55" s="56">
        <v>65.290000000000006</v>
      </c>
      <c r="S55" s="56">
        <v>72.78</v>
      </c>
      <c r="T55">
        <v>466350078</v>
      </c>
      <c r="U55">
        <v>472473178</v>
      </c>
      <c r="V55">
        <v>727.1</v>
      </c>
      <c r="W55">
        <v>47</v>
      </c>
    </row>
    <row r="56" spans="1:23" x14ac:dyDescent="0.55000000000000004">
      <c r="A56" s="1">
        <v>15</v>
      </c>
      <c r="B56" s="1">
        <v>59</v>
      </c>
      <c r="C56" s="1">
        <v>1107</v>
      </c>
      <c r="D56" t="s">
        <v>57</v>
      </c>
      <c r="E56">
        <v>1322.6</v>
      </c>
      <c r="F56">
        <v>8</v>
      </c>
      <c r="G56">
        <v>7988</v>
      </c>
      <c r="H56" s="38">
        <v>10564929</v>
      </c>
      <c r="I56" s="38">
        <v>0</v>
      </c>
      <c r="J56">
        <v>871.5</v>
      </c>
      <c r="K56">
        <v>0</v>
      </c>
      <c r="L56">
        <v>72.819999999999993</v>
      </c>
      <c r="M56">
        <v>0</v>
      </c>
      <c r="N56">
        <v>91.59</v>
      </c>
      <c r="O56">
        <v>0</v>
      </c>
      <c r="P56">
        <v>385.29</v>
      </c>
      <c r="Q56">
        <v>0</v>
      </c>
      <c r="R56" s="56">
        <v>64.959999999999994</v>
      </c>
      <c r="S56" s="56">
        <v>71.430000000000007</v>
      </c>
      <c r="T56">
        <v>416894712</v>
      </c>
      <c r="U56">
        <v>419080096</v>
      </c>
      <c r="V56">
        <v>1297.0999999999999</v>
      </c>
      <c r="W56">
        <v>6</v>
      </c>
    </row>
    <row r="57" spans="1:23" x14ac:dyDescent="0.55000000000000004">
      <c r="A57" s="1">
        <v>7</v>
      </c>
      <c r="B57" s="1">
        <v>34</v>
      </c>
      <c r="C57" s="1">
        <v>1116</v>
      </c>
      <c r="D57" t="s">
        <v>58</v>
      </c>
      <c r="E57">
        <v>1420.8</v>
      </c>
      <c r="F57">
        <v>182</v>
      </c>
      <c r="G57">
        <v>8008</v>
      </c>
      <c r="H57" s="38">
        <v>11377766</v>
      </c>
      <c r="I57" s="38">
        <v>273856</v>
      </c>
      <c r="J57">
        <v>813.33</v>
      </c>
      <c r="K57">
        <v>0</v>
      </c>
      <c r="L57">
        <v>80.17</v>
      </c>
      <c r="M57">
        <v>0</v>
      </c>
      <c r="N57">
        <v>80.31</v>
      </c>
      <c r="O57">
        <v>0</v>
      </c>
      <c r="P57">
        <v>385.29</v>
      </c>
      <c r="Q57">
        <v>0</v>
      </c>
      <c r="R57" s="56">
        <v>65.290000000000006</v>
      </c>
      <c r="S57" s="56">
        <v>72.78</v>
      </c>
      <c r="T57">
        <v>654979332</v>
      </c>
      <c r="U57">
        <v>727719634</v>
      </c>
      <c r="V57">
        <v>1320.2</v>
      </c>
      <c r="W57">
        <v>219</v>
      </c>
    </row>
    <row r="58" spans="1:23" x14ac:dyDescent="0.55000000000000004">
      <c r="A58" s="1">
        <v>12</v>
      </c>
      <c r="B58" s="1">
        <v>24</v>
      </c>
      <c r="C58" s="1">
        <v>1134</v>
      </c>
      <c r="D58" t="s">
        <v>59</v>
      </c>
      <c r="E58">
        <v>288.39999999999998</v>
      </c>
      <c r="F58">
        <v>2</v>
      </c>
      <c r="G58">
        <v>7988</v>
      </c>
      <c r="H58" s="38">
        <v>2303739</v>
      </c>
      <c r="I58" s="38">
        <v>0</v>
      </c>
      <c r="J58">
        <v>1241.8499999999999</v>
      </c>
      <c r="K58">
        <v>0</v>
      </c>
      <c r="L58">
        <v>79.61</v>
      </c>
      <c r="M58">
        <v>0</v>
      </c>
      <c r="N58">
        <v>87.16</v>
      </c>
      <c r="O58">
        <v>0</v>
      </c>
      <c r="P58">
        <v>385.29</v>
      </c>
      <c r="Q58">
        <v>0</v>
      </c>
      <c r="R58" s="56">
        <v>65.27</v>
      </c>
      <c r="S58" s="56">
        <v>73.06</v>
      </c>
      <c r="T58">
        <v>227764298</v>
      </c>
      <c r="U58">
        <v>230877934</v>
      </c>
      <c r="V58">
        <v>263.5</v>
      </c>
      <c r="W58">
        <v>7</v>
      </c>
    </row>
    <row r="59" spans="1:23" x14ac:dyDescent="0.55000000000000004">
      <c r="A59" s="1">
        <v>12</v>
      </c>
      <c r="B59" s="1">
        <v>18</v>
      </c>
      <c r="C59" s="1">
        <v>1152</v>
      </c>
      <c r="D59" t="s">
        <v>60</v>
      </c>
      <c r="E59">
        <v>1002</v>
      </c>
      <c r="F59">
        <v>5</v>
      </c>
      <c r="G59">
        <v>7999</v>
      </c>
      <c r="H59" s="38">
        <v>8014998</v>
      </c>
      <c r="I59" s="38">
        <v>216695</v>
      </c>
      <c r="J59">
        <v>896.16</v>
      </c>
      <c r="K59">
        <v>0</v>
      </c>
      <c r="L59">
        <v>78.53</v>
      </c>
      <c r="M59">
        <v>1111</v>
      </c>
      <c r="N59">
        <v>84.19</v>
      </c>
      <c r="O59">
        <v>1159</v>
      </c>
      <c r="P59">
        <v>385.29</v>
      </c>
      <c r="Q59">
        <v>5354</v>
      </c>
      <c r="R59" s="56">
        <v>65.27</v>
      </c>
      <c r="S59" s="56">
        <v>73.06</v>
      </c>
      <c r="T59">
        <v>382912446</v>
      </c>
      <c r="U59">
        <v>388296875</v>
      </c>
      <c r="V59">
        <v>1026.8</v>
      </c>
      <c r="W59">
        <v>6</v>
      </c>
    </row>
    <row r="60" spans="1:23" x14ac:dyDescent="0.55000000000000004">
      <c r="A60" s="1">
        <v>13</v>
      </c>
      <c r="B60" s="1">
        <v>73</v>
      </c>
      <c r="C60" s="1">
        <v>1197</v>
      </c>
      <c r="D60" t="s">
        <v>61</v>
      </c>
      <c r="E60">
        <v>966.3</v>
      </c>
      <c r="F60">
        <v>52</v>
      </c>
      <c r="G60">
        <v>7988</v>
      </c>
      <c r="H60" s="38">
        <v>7718804</v>
      </c>
      <c r="I60" s="38">
        <v>0</v>
      </c>
      <c r="J60">
        <v>859.94</v>
      </c>
      <c r="K60">
        <v>0</v>
      </c>
      <c r="L60">
        <v>64.69</v>
      </c>
      <c r="M60">
        <v>0</v>
      </c>
      <c r="N60">
        <v>74.67</v>
      </c>
      <c r="O60">
        <v>0</v>
      </c>
      <c r="P60">
        <v>385.29</v>
      </c>
      <c r="Q60">
        <v>0</v>
      </c>
      <c r="R60" s="56">
        <v>64.989999999999995</v>
      </c>
      <c r="S60" s="56">
        <v>71.86</v>
      </c>
      <c r="T60">
        <v>371602381</v>
      </c>
      <c r="U60">
        <v>379833218</v>
      </c>
      <c r="V60">
        <v>918.6</v>
      </c>
      <c r="W60">
        <v>62</v>
      </c>
    </row>
    <row r="61" spans="1:23" x14ac:dyDescent="0.55000000000000004">
      <c r="A61" s="1">
        <v>5</v>
      </c>
      <c r="B61" s="1">
        <v>99</v>
      </c>
      <c r="C61" s="1">
        <v>1206</v>
      </c>
      <c r="D61" t="s">
        <v>62</v>
      </c>
      <c r="E61">
        <v>972</v>
      </c>
      <c r="F61">
        <v>2</v>
      </c>
      <c r="G61">
        <v>7988</v>
      </c>
      <c r="H61" s="38">
        <v>7764336</v>
      </c>
      <c r="I61" s="38">
        <v>0</v>
      </c>
      <c r="J61">
        <v>838.97</v>
      </c>
      <c r="K61">
        <v>0</v>
      </c>
      <c r="L61">
        <v>78.33</v>
      </c>
      <c r="M61">
        <v>0</v>
      </c>
      <c r="N61">
        <v>85.41</v>
      </c>
      <c r="O61">
        <v>0</v>
      </c>
      <c r="P61">
        <v>385.29</v>
      </c>
      <c r="Q61">
        <v>0</v>
      </c>
      <c r="R61" s="56">
        <v>65.34</v>
      </c>
      <c r="S61" s="56">
        <v>73.16</v>
      </c>
      <c r="T61">
        <v>606365866</v>
      </c>
      <c r="U61">
        <v>639022450</v>
      </c>
      <c r="V61">
        <v>982.4</v>
      </c>
      <c r="W61">
        <v>3</v>
      </c>
    </row>
    <row r="62" spans="1:23" x14ac:dyDescent="0.55000000000000004">
      <c r="A62" s="1">
        <v>13</v>
      </c>
      <c r="B62" s="1">
        <v>20</v>
      </c>
      <c r="C62" s="1">
        <v>1211</v>
      </c>
      <c r="D62" t="s">
        <v>63</v>
      </c>
      <c r="E62">
        <v>1477.4</v>
      </c>
      <c r="F62">
        <v>6</v>
      </c>
      <c r="G62">
        <v>7988</v>
      </c>
      <c r="H62" s="38">
        <v>11801471</v>
      </c>
      <c r="I62" s="38">
        <v>0</v>
      </c>
      <c r="J62">
        <v>893.4</v>
      </c>
      <c r="K62">
        <v>0</v>
      </c>
      <c r="L62">
        <v>71.72</v>
      </c>
      <c r="M62">
        <v>0</v>
      </c>
      <c r="N62">
        <v>88.96</v>
      </c>
      <c r="O62">
        <v>0</v>
      </c>
      <c r="P62">
        <v>385.29</v>
      </c>
      <c r="Q62">
        <v>0</v>
      </c>
      <c r="R62" s="56">
        <v>64.989999999999995</v>
      </c>
      <c r="S62" s="56">
        <v>71.86</v>
      </c>
      <c r="T62">
        <v>414482576</v>
      </c>
      <c r="U62">
        <v>432276535</v>
      </c>
      <c r="V62">
        <v>1435.2</v>
      </c>
      <c r="W62">
        <v>32</v>
      </c>
    </row>
    <row r="63" spans="1:23" x14ac:dyDescent="0.55000000000000004">
      <c r="A63" s="1">
        <v>7</v>
      </c>
      <c r="B63" s="1">
        <v>12</v>
      </c>
      <c r="C63" s="1">
        <v>1215</v>
      </c>
      <c r="D63" t="s">
        <v>64</v>
      </c>
      <c r="E63">
        <v>272.60000000000002</v>
      </c>
      <c r="F63">
        <v>4</v>
      </c>
      <c r="G63">
        <v>7988</v>
      </c>
      <c r="H63" s="38">
        <v>2177529</v>
      </c>
      <c r="I63" s="38">
        <v>40407</v>
      </c>
      <c r="J63">
        <v>1493.46</v>
      </c>
      <c r="K63">
        <v>0</v>
      </c>
      <c r="L63">
        <v>83.39</v>
      </c>
      <c r="M63">
        <v>152</v>
      </c>
      <c r="N63">
        <v>86.4</v>
      </c>
      <c r="O63">
        <v>134</v>
      </c>
      <c r="P63">
        <v>385.29</v>
      </c>
      <c r="Q63">
        <v>556</v>
      </c>
      <c r="R63" s="56">
        <v>65.290000000000006</v>
      </c>
      <c r="S63" s="56">
        <v>72.78</v>
      </c>
      <c r="T63">
        <v>123622466</v>
      </c>
      <c r="U63">
        <v>123622466</v>
      </c>
      <c r="V63">
        <v>263.89999999999998</v>
      </c>
      <c r="W63">
        <v>4</v>
      </c>
    </row>
    <row r="64" spans="1:23" x14ac:dyDescent="0.55000000000000004">
      <c r="A64" s="1">
        <v>5</v>
      </c>
      <c r="B64" s="1">
        <v>21</v>
      </c>
      <c r="C64" s="1">
        <v>1218</v>
      </c>
      <c r="D64" t="s">
        <v>65</v>
      </c>
      <c r="E64">
        <v>268</v>
      </c>
      <c r="F64">
        <v>26</v>
      </c>
      <c r="G64">
        <v>8076</v>
      </c>
      <c r="H64" s="38">
        <v>2164368</v>
      </c>
      <c r="I64" s="38">
        <v>0</v>
      </c>
      <c r="J64">
        <v>1257.49</v>
      </c>
      <c r="K64">
        <v>0</v>
      </c>
      <c r="L64">
        <v>81.87</v>
      </c>
      <c r="M64">
        <v>0</v>
      </c>
      <c r="N64">
        <v>76.81</v>
      </c>
      <c r="O64">
        <v>0</v>
      </c>
      <c r="P64">
        <v>385.29</v>
      </c>
      <c r="Q64">
        <v>0</v>
      </c>
      <c r="R64" s="56">
        <v>65.34</v>
      </c>
      <c r="S64" s="56">
        <v>73.16</v>
      </c>
      <c r="T64">
        <v>325425362</v>
      </c>
      <c r="U64">
        <v>374277450</v>
      </c>
      <c r="V64">
        <v>301.10000000000002</v>
      </c>
      <c r="W64">
        <v>41</v>
      </c>
    </row>
    <row r="65" spans="1:23" x14ac:dyDescent="0.55000000000000004">
      <c r="A65" s="1">
        <v>1</v>
      </c>
      <c r="B65" s="1">
        <v>22</v>
      </c>
      <c r="C65" s="1">
        <v>2763</v>
      </c>
      <c r="D65" t="s">
        <v>66</v>
      </c>
      <c r="E65">
        <v>638</v>
      </c>
      <c r="F65">
        <v>11</v>
      </c>
      <c r="G65">
        <v>8040</v>
      </c>
      <c r="H65" s="38">
        <v>5129520</v>
      </c>
      <c r="I65" s="38">
        <v>0</v>
      </c>
      <c r="J65">
        <v>989.4</v>
      </c>
      <c r="K65">
        <v>0</v>
      </c>
      <c r="L65">
        <v>77.959999999999994</v>
      </c>
      <c r="M65">
        <v>0</v>
      </c>
      <c r="N65">
        <v>72.27</v>
      </c>
      <c r="O65">
        <v>0</v>
      </c>
      <c r="P65">
        <v>385.29</v>
      </c>
      <c r="Q65">
        <v>0</v>
      </c>
      <c r="R65" s="56">
        <v>65.260000000000005</v>
      </c>
      <c r="S65" s="56">
        <v>72.69</v>
      </c>
      <c r="T65">
        <v>403640359</v>
      </c>
      <c r="U65">
        <v>403935034</v>
      </c>
      <c r="V65">
        <v>625.1</v>
      </c>
      <c r="W65">
        <v>10</v>
      </c>
    </row>
    <row r="66" spans="1:23" x14ac:dyDescent="0.55000000000000004">
      <c r="A66" s="1">
        <v>10</v>
      </c>
      <c r="B66" s="1">
        <v>52</v>
      </c>
      <c r="C66" s="1">
        <v>1221</v>
      </c>
      <c r="D66" t="s">
        <v>67</v>
      </c>
      <c r="E66">
        <v>3122.5</v>
      </c>
      <c r="F66">
        <v>49</v>
      </c>
      <c r="G66">
        <v>7988</v>
      </c>
      <c r="H66" s="38">
        <v>24942530</v>
      </c>
      <c r="I66" s="38">
        <v>0</v>
      </c>
      <c r="J66">
        <v>845.11</v>
      </c>
      <c r="K66">
        <v>0</v>
      </c>
      <c r="L66">
        <v>75.16</v>
      </c>
      <c r="M66">
        <v>0</v>
      </c>
      <c r="N66">
        <v>70.209999999999994</v>
      </c>
      <c r="O66">
        <v>0</v>
      </c>
      <c r="P66">
        <v>385.29</v>
      </c>
      <c r="Q66">
        <v>0</v>
      </c>
      <c r="R66" s="56">
        <v>64.98</v>
      </c>
      <c r="S66" s="56">
        <v>71.459999999999994</v>
      </c>
      <c r="T66">
        <v>1522447244</v>
      </c>
      <c r="U66">
        <v>1881616712</v>
      </c>
      <c r="V66">
        <v>3204.4</v>
      </c>
      <c r="W66">
        <v>86</v>
      </c>
    </row>
    <row r="67" spans="1:23" x14ac:dyDescent="0.55000000000000004">
      <c r="A67" s="1">
        <v>7</v>
      </c>
      <c r="B67" s="1">
        <v>17</v>
      </c>
      <c r="C67" s="1">
        <v>1233</v>
      </c>
      <c r="D67" t="s">
        <v>68</v>
      </c>
      <c r="E67">
        <v>1140.4000000000001</v>
      </c>
      <c r="F67">
        <v>26</v>
      </c>
      <c r="G67">
        <v>7988</v>
      </c>
      <c r="H67" s="38">
        <v>9109515</v>
      </c>
      <c r="I67" s="38">
        <v>53103</v>
      </c>
      <c r="J67">
        <v>879.86</v>
      </c>
      <c r="K67">
        <v>0</v>
      </c>
      <c r="L67">
        <v>73.19</v>
      </c>
      <c r="M67">
        <v>0</v>
      </c>
      <c r="N67">
        <v>76.91</v>
      </c>
      <c r="O67">
        <v>0</v>
      </c>
      <c r="P67">
        <v>385.29</v>
      </c>
      <c r="Q67">
        <v>0</v>
      </c>
      <c r="R67" s="56">
        <v>65.290000000000006</v>
      </c>
      <c r="S67" s="56">
        <v>72.78</v>
      </c>
      <c r="T67">
        <v>1102124885</v>
      </c>
      <c r="U67">
        <v>1229396048</v>
      </c>
      <c r="V67">
        <v>1077.9000000000001</v>
      </c>
      <c r="W67">
        <v>47</v>
      </c>
    </row>
    <row r="68" spans="1:23" x14ac:dyDescent="0.55000000000000004">
      <c r="A68" s="1">
        <v>9</v>
      </c>
      <c r="B68" s="1">
        <v>23</v>
      </c>
      <c r="C68" s="1">
        <v>1278</v>
      </c>
      <c r="D68" t="s">
        <v>69</v>
      </c>
      <c r="E68">
        <v>3584.2</v>
      </c>
      <c r="F68">
        <v>161</v>
      </c>
      <c r="G68">
        <v>7994</v>
      </c>
      <c r="H68" s="38">
        <v>28652095</v>
      </c>
      <c r="I68" s="38">
        <v>0</v>
      </c>
      <c r="J68">
        <v>769.64</v>
      </c>
      <c r="K68">
        <v>0</v>
      </c>
      <c r="L68">
        <v>78.83</v>
      </c>
      <c r="M68">
        <v>0</v>
      </c>
      <c r="N68">
        <v>90.96</v>
      </c>
      <c r="O68">
        <v>0</v>
      </c>
      <c r="P68">
        <v>385.29</v>
      </c>
      <c r="Q68">
        <v>0</v>
      </c>
      <c r="R68" s="56">
        <v>64.8</v>
      </c>
      <c r="S68" s="56">
        <v>70.86</v>
      </c>
      <c r="T68">
        <v>1001973797</v>
      </c>
      <c r="U68">
        <v>1010829944</v>
      </c>
      <c r="V68">
        <v>3614.9</v>
      </c>
      <c r="W68">
        <v>175</v>
      </c>
    </row>
    <row r="69" spans="1:23" x14ac:dyDescent="0.55000000000000004">
      <c r="A69" s="1">
        <v>11</v>
      </c>
      <c r="B69" s="1">
        <v>50</v>
      </c>
      <c r="C69" s="1">
        <v>1332</v>
      </c>
      <c r="D69" t="s">
        <v>70</v>
      </c>
      <c r="E69">
        <v>684.5</v>
      </c>
      <c r="F69">
        <v>6</v>
      </c>
      <c r="G69">
        <v>7988</v>
      </c>
      <c r="H69" s="38">
        <v>5467786</v>
      </c>
      <c r="I69" s="38">
        <v>148982</v>
      </c>
      <c r="J69">
        <v>1049.57</v>
      </c>
      <c r="K69">
        <v>0</v>
      </c>
      <c r="L69">
        <v>68.58</v>
      </c>
      <c r="M69">
        <v>701</v>
      </c>
      <c r="N69">
        <v>79.48</v>
      </c>
      <c r="O69">
        <v>885</v>
      </c>
      <c r="P69">
        <v>385.29</v>
      </c>
      <c r="Q69">
        <v>4645</v>
      </c>
      <c r="R69" s="56">
        <v>64.86</v>
      </c>
      <c r="S69" s="56">
        <v>71.28</v>
      </c>
      <c r="T69">
        <v>311581475</v>
      </c>
      <c r="U69">
        <v>312095185</v>
      </c>
      <c r="V69">
        <v>663.4</v>
      </c>
      <c r="W69">
        <v>6</v>
      </c>
    </row>
    <row r="70" spans="1:23" x14ac:dyDescent="0.55000000000000004">
      <c r="A70" s="1">
        <v>10</v>
      </c>
      <c r="B70" s="1">
        <v>57</v>
      </c>
      <c r="C70" s="1">
        <v>1337</v>
      </c>
      <c r="D70" t="s">
        <v>71</v>
      </c>
      <c r="E70">
        <v>5113.8</v>
      </c>
      <c r="F70">
        <v>117</v>
      </c>
      <c r="G70">
        <v>7988</v>
      </c>
      <c r="H70" s="38">
        <v>40849034</v>
      </c>
      <c r="I70" s="38">
        <v>0</v>
      </c>
      <c r="J70">
        <v>747.79</v>
      </c>
      <c r="K70">
        <v>0</v>
      </c>
      <c r="L70">
        <v>79.930000000000007</v>
      </c>
      <c r="M70">
        <v>0</v>
      </c>
      <c r="N70">
        <v>84.14</v>
      </c>
      <c r="O70">
        <v>0</v>
      </c>
      <c r="P70">
        <v>385.29</v>
      </c>
      <c r="Q70">
        <v>0</v>
      </c>
      <c r="R70" s="56">
        <v>64.98</v>
      </c>
      <c r="S70" s="56">
        <v>71.459999999999994</v>
      </c>
      <c r="T70">
        <v>2771582087</v>
      </c>
      <c r="U70">
        <v>3017958482</v>
      </c>
      <c r="V70">
        <v>5026.6000000000004</v>
      </c>
      <c r="W70">
        <v>170</v>
      </c>
    </row>
    <row r="71" spans="1:23" x14ac:dyDescent="0.55000000000000004">
      <c r="A71" s="1">
        <v>11</v>
      </c>
      <c r="B71" s="1">
        <v>85</v>
      </c>
      <c r="C71" s="1">
        <v>1350</v>
      </c>
      <c r="D71" t="s">
        <v>72</v>
      </c>
      <c r="E71">
        <v>418.1</v>
      </c>
      <c r="F71">
        <v>2</v>
      </c>
      <c r="G71">
        <v>7988</v>
      </c>
      <c r="H71" s="38">
        <v>3339783</v>
      </c>
      <c r="I71" s="38">
        <v>151528</v>
      </c>
      <c r="J71">
        <v>1259.24</v>
      </c>
      <c r="K71">
        <v>0</v>
      </c>
      <c r="L71">
        <v>72.98</v>
      </c>
      <c r="M71">
        <v>1048</v>
      </c>
      <c r="N71">
        <v>79.69</v>
      </c>
      <c r="O71">
        <v>1144</v>
      </c>
      <c r="P71">
        <v>385.29</v>
      </c>
      <c r="Q71">
        <v>5743</v>
      </c>
      <c r="R71" s="56">
        <v>64.86</v>
      </c>
      <c r="S71" s="56">
        <v>71.28</v>
      </c>
      <c r="T71">
        <v>219671186</v>
      </c>
      <c r="U71">
        <v>226588781</v>
      </c>
      <c r="V71">
        <v>422</v>
      </c>
      <c r="W71">
        <v>4</v>
      </c>
    </row>
    <row r="72" spans="1:23" x14ac:dyDescent="0.55000000000000004">
      <c r="A72" s="1">
        <v>11</v>
      </c>
      <c r="B72" s="1">
        <v>85</v>
      </c>
      <c r="C72" s="1">
        <v>1359</v>
      </c>
      <c r="D72" t="s">
        <v>73</v>
      </c>
      <c r="E72">
        <v>452</v>
      </c>
      <c r="F72">
        <v>0</v>
      </c>
      <c r="G72">
        <v>7988</v>
      </c>
      <c r="H72" s="38">
        <v>3610576</v>
      </c>
      <c r="I72" s="38">
        <v>0</v>
      </c>
      <c r="J72">
        <v>1161.73</v>
      </c>
      <c r="K72">
        <v>0</v>
      </c>
      <c r="L72">
        <v>74.739999999999995</v>
      </c>
      <c r="M72">
        <v>0</v>
      </c>
      <c r="N72">
        <v>79.650000000000006</v>
      </c>
      <c r="O72">
        <v>0</v>
      </c>
      <c r="P72">
        <v>385.29</v>
      </c>
      <c r="Q72">
        <v>0</v>
      </c>
      <c r="R72" s="56">
        <v>64.86</v>
      </c>
      <c r="S72" s="56">
        <v>71.28</v>
      </c>
      <c r="T72">
        <v>356548035</v>
      </c>
      <c r="U72">
        <v>392280387</v>
      </c>
      <c r="V72">
        <v>440.5</v>
      </c>
      <c r="W72">
        <v>2</v>
      </c>
    </row>
    <row r="73" spans="1:23" x14ac:dyDescent="0.55000000000000004">
      <c r="A73" s="1">
        <v>9</v>
      </c>
      <c r="B73" s="1">
        <v>58</v>
      </c>
      <c r="C73" s="1">
        <v>1368</v>
      </c>
      <c r="D73" t="s">
        <v>74</v>
      </c>
      <c r="E73">
        <v>762.5</v>
      </c>
      <c r="F73">
        <v>2</v>
      </c>
      <c r="G73">
        <v>7988</v>
      </c>
      <c r="H73" s="38">
        <v>6090850</v>
      </c>
      <c r="I73" s="38">
        <v>0</v>
      </c>
      <c r="J73">
        <v>1129.0999999999999</v>
      </c>
      <c r="K73">
        <v>0</v>
      </c>
      <c r="L73">
        <v>85.08</v>
      </c>
      <c r="M73">
        <v>0</v>
      </c>
      <c r="N73">
        <v>88.84</v>
      </c>
      <c r="O73">
        <v>0</v>
      </c>
      <c r="P73">
        <v>385.29</v>
      </c>
      <c r="Q73">
        <v>0</v>
      </c>
      <c r="R73" s="56">
        <v>64.8</v>
      </c>
      <c r="S73" s="56">
        <v>70.86</v>
      </c>
      <c r="T73">
        <v>309090550</v>
      </c>
      <c r="U73">
        <v>310266721</v>
      </c>
      <c r="V73">
        <v>738.2</v>
      </c>
      <c r="W73">
        <v>2</v>
      </c>
    </row>
    <row r="74" spans="1:23" x14ac:dyDescent="0.55000000000000004">
      <c r="A74" s="1">
        <v>11</v>
      </c>
      <c r="B74" s="1">
        <v>14</v>
      </c>
      <c r="C74" s="1">
        <v>1413</v>
      </c>
      <c r="D74" t="s">
        <v>75</v>
      </c>
      <c r="E74">
        <v>440.4</v>
      </c>
      <c r="F74">
        <v>1</v>
      </c>
      <c r="G74">
        <v>8095</v>
      </c>
      <c r="H74" s="38">
        <v>3565038</v>
      </c>
      <c r="I74" s="38">
        <v>0</v>
      </c>
      <c r="J74">
        <v>1369.24</v>
      </c>
      <c r="K74">
        <v>0</v>
      </c>
      <c r="L74">
        <v>82.04</v>
      </c>
      <c r="M74">
        <v>0</v>
      </c>
      <c r="N74">
        <v>88.27</v>
      </c>
      <c r="O74">
        <v>0</v>
      </c>
      <c r="P74">
        <v>385.29</v>
      </c>
      <c r="Q74">
        <v>0</v>
      </c>
      <c r="R74" s="56">
        <v>64.86</v>
      </c>
      <c r="S74" s="56">
        <v>71.28</v>
      </c>
      <c r="T74">
        <v>256468377</v>
      </c>
      <c r="U74">
        <v>262089282</v>
      </c>
      <c r="V74">
        <v>440</v>
      </c>
      <c r="W74">
        <v>2</v>
      </c>
    </row>
    <row r="75" spans="1:23" x14ac:dyDescent="0.55000000000000004">
      <c r="A75" s="1">
        <v>13</v>
      </c>
      <c r="B75" s="1">
        <v>2</v>
      </c>
      <c r="C75" s="1">
        <v>1431</v>
      </c>
      <c r="D75" t="s">
        <v>76</v>
      </c>
      <c r="E75">
        <v>396.1</v>
      </c>
      <c r="F75">
        <v>5</v>
      </c>
      <c r="G75">
        <v>7995</v>
      </c>
      <c r="H75" s="38">
        <v>3166820</v>
      </c>
      <c r="I75" s="38">
        <v>0</v>
      </c>
      <c r="J75">
        <v>1109.5</v>
      </c>
      <c r="K75">
        <v>0</v>
      </c>
      <c r="L75">
        <v>78.739999999999995</v>
      </c>
      <c r="M75">
        <v>0</v>
      </c>
      <c r="N75">
        <v>92.06</v>
      </c>
      <c r="O75">
        <v>0</v>
      </c>
      <c r="P75">
        <v>385.29</v>
      </c>
      <c r="Q75">
        <v>0</v>
      </c>
      <c r="R75" s="56">
        <v>64.989999999999995</v>
      </c>
      <c r="S75" s="56">
        <v>71.86</v>
      </c>
      <c r="T75">
        <v>355542746</v>
      </c>
      <c r="U75">
        <v>357173323</v>
      </c>
      <c r="V75">
        <v>388</v>
      </c>
      <c r="W75">
        <v>6</v>
      </c>
    </row>
    <row r="76" spans="1:23" x14ac:dyDescent="0.55000000000000004">
      <c r="A76" s="1">
        <v>13</v>
      </c>
      <c r="B76" s="1">
        <v>78</v>
      </c>
      <c r="C76" s="1">
        <v>1476</v>
      </c>
      <c r="D76" t="s">
        <v>77</v>
      </c>
      <c r="E76">
        <v>8458.1</v>
      </c>
      <c r="F76">
        <v>398</v>
      </c>
      <c r="G76">
        <v>8017</v>
      </c>
      <c r="H76" s="38">
        <v>67808588</v>
      </c>
      <c r="I76" s="38">
        <v>720583</v>
      </c>
      <c r="J76">
        <v>719.75</v>
      </c>
      <c r="K76">
        <v>0</v>
      </c>
      <c r="L76">
        <v>76.510000000000005</v>
      </c>
      <c r="M76">
        <v>0</v>
      </c>
      <c r="N76">
        <v>95.66</v>
      </c>
      <c r="O76">
        <v>0</v>
      </c>
      <c r="P76">
        <v>385.29</v>
      </c>
      <c r="Q76">
        <v>0</v>
      </c>
      <c r="R76" s="56">
        <v>64.989999999999995</v>
      </c>
      <c r="S76" s="56">
        <v>71.86</v>
      </c>
      <c r="T76">
        <v>2761785159</v>
      </c>
      <c r="U76">
        <v>2837906154</v>
      </c>
      <c r="V76">
        <v>8309.2999999999993</v>
      </c>
      <c r="W76">
        <v>528</v>
      </c>
    </row>
    <row r="77" spans="1:23" x14ac:dyDescent="0.55000000000000004">
      <c r="A77" s="1">
        <v>13</v>
      </c>
      <c r="B77" s="1">
        <v>88</v>
      </c>
      <c r="C77" s="1">
        <v>1503</v>
      </c>
      <c r="D77" t="s">
        <v>78</v>
      </c>
      <c r="E77">
        <v>1330.5</v>
      </c>
      <c r="F77">
        <v>77</v>
      </c>
      <c r="G77">
        <v>7988</v>
      </c>
      <c r="H77" s="38">
        <v>10628034</v>
      </c>
      <c r="I77" s="38">
        <v>196059</v>
      </c>
      <c r="J77">
        <v>887.16</v>
      </c>
      <c r="K77">
        <v>0</v>
      </c>
      <c r="L77">
        <v>76.72</v>
      </c>
      <c r="M77">
        <v>0</v>
      </c>
      <c r="N77">
        <v>87.13</v>
      </c>
      <c r="O77">
        <v>0</v>
      </c>
      <c r="P77">
        <v>385.29</v>
      </c>
      <c r="Q77">
        <v>0</v>
      </c>
      <c r="R77" s="56">
        <v>64.989999999999995</v>
      </c>
      <c r="S77" s="56">
        <v>71.86</v>
      </c>
      <c r="T77">
        <v>550882958</v>
      </c>
      <c r="U77">
        <v>576533182</v>
      </c>
      <c r="V77">
        <v>1285.7</v>
      </c>
      <c r="W77">
        <v>148</v>
      </c>
    </row>
    <row r="78" spans="1:23" x14ac:dyDescent="0.55000000000000004">
      <c r="A78" s="1">
        <v>11</v>
      </c>
      <c r="B78" s="1">
        <v>25</v>
      </c>
      <c r="C78" s="1">
        <v>1576</v>
      </c>
      <c r="D78" t="s">
        <v>79</v>
      </c>
      <c r="E78">
        <v>3446.3</v>
      </c>
      <c r="F78">
        <v>76</v>
      </c>
      <c r="G78">
        <v>7988</v>
      </c>
      <c r="H78" s="38">
        <v>27529044</v>
      </c>
      <c r="I78" s="38">
        <v>147722</v>
      </c>
      <c r="J78">
        <v>720.75</v>
      </c>
      <c r="K78">
        <v>0</v>
      </c>
      <c r="L78">
        <v>70.209999999999994</v>
      </c>
      <c r="M78">
        <v>0</v>
      </c>
      <c r="N78">
        <v>78.599999999999994</v>
      </c>
      <c r="O78">
        <v>0</v>
      </c>
      <c r="P78">
        <v>385.29</v>
      </c>
      <c r="Q78">
        <v>0</v>
      </c>
      <c r="R78" s="56">
        <v>64.86</v>
      </c>
      <c r="S78" s="56">
        <v>71.28</v>
      </c>
      <c r="T78">
        <v>1482102093</v>
      </c>
      <c r="U78">
        <v>1880770684</v>
      </c>
      <c r="V78">
        <v>3404.7</v>
      </c>
      <c r="W78">
        <v>155</v>
      </c>
    </row>
    <row r="79" spans="1:23" x14ac:dyDescent="0.55000000000000004">
      <c r="A79" s="1">
        <v>15</v>
      </c>
      <c r="B79" s="1">
        <v>29</v>
      </c>
      <c r="C79" s="1">
        <v>1602</v>
      </c>
      <c r="D79" t="s">
        <v>80</v>
      </c>
      <c r="E79">
        <v>419.9</v>
      </c>
      <c r="F79">
        <v>7</v>
      </c>
      <c r="G79">
        <v>7988</v>
      </c>
      <c r="H79" s="38">
        <v>3354161</v>
      </c>
      <c r="I79" s="38">
        <v>140313</v>
      </c>
      <c r="J79">
        <v>1235.71</v>
      </c>
      <c r="K79">
        <v>0</v>
      </c>
      <c r="L79">
        <v>76.41</v>
      </c>
      <c r="M79">
        <v>640</v>
      </c>
      <c r="N79">
        <v>84.88</v>
      </c>
      <c r="O79">
        <v>723</v>
      </c>
      <c r="P79">
        <v>385.29</v>
      </c>
      <c r="Q79">
        <v>3274</v>
      </c>
      <c r="R79" s="56">
        <v>64.959999999999994</v>
      </c>
      <c r="S79" s="56">
        <v>71.430000000000007</v>
      </c>
      <c r="T79">
        <v>171333570</v>
      </c>
      <c r="U79">
        <v>171333570</v>
      </c>
      <c r="V79">
        <v>419.6</v>
      </c>
      <c r="W79">
        <v>17</v>
      </c>
    </row>
    <row r="80" spans="1:23" x14ac:dyDescent="0.55000000000000004">
      <c r="A80" s="1">
        <v>9</v>
      </c>
      <c r="B80" s="1">
        <v>82</v>
      </c>
      <c r="C80" s="1">
        <v>1611</v>
      </c>
      <c r="D80" t="s">
        <v>81</v>
      </c>
      <c r="E80">
        <v>13566.8</v>
      </c>
      <c r="F80">
        <v>1520</v>
      </c>
      <c r="G80">
        <v>7988</v>
      </c>
      <c r="H80" s="38">
        <v>108371598</v>
      </c>
      <c r="I80" s="38">
        <v>597321</v>
      </c>
      <c r="J80">
        <v>741.68</v>
      </c>
      <c r="K80">
        <v>0</v>
      </c>
      <c r="L80">
        <v>81.78</v>
      </c>
      <c r="M80">
        <v>0</v>
      </c>
      <c r="N80">
        <v>95.27</v>
      </c>
      <c r="O80">
        <v>0</v>
      </c>
      <c r="P80">
        <v>385.29</v>
      </c>
      <c r="Q80">
        <v>0</v>
      </c>
      <c r="R80" s="56">
        <v>64.8</v>
      </c>
      <c r="S80" s="56">
        <v>70.86</v>
      </c>
      <c r="T80">
        <v>5301742592</v>
      </c>
      <c r="U80">
        <v>5453481416</v>
      </c>
      <c r="V80">
        <v>13370.5</v>
      </c>
      <c r="W80">
        <v>2103</v>
      </c>
    </row>
    <row r="81" spans="1:23" x14ac:dyDescent="0.55000000000000004">
      <c r="A81" s="1">
        <v>15</v>
      </c>
      <c r="B81" s="1">
        <v>26</v>
      </c>
      <c r="C81" s="1">
        <v>1619</v>
      </c>
      <c r="D81" t="s">
        <v>82</v>
      </c>
      <c r="E81">
        <v>1079.2</v>
      </c>
      <c r="F81">
        <v>5</v>
      </c>
      <c r="G81">
        <v>7988</v>
      </c>
      <c r="H81" s="38">
        <v>8620650</v>
      </c>
      <c r="I81" s="38">
        <v>215522</v>
      </c>
      <c r="J81">
        <v>878.84</v>
      </c>
      <c r="K81">
        <v>0</v>
      </c>
      <c r="L81">
        <v>76.180000000000007</v>
      </c>
      <c r="M81">
        <v>1242</v>
      </c>
      <c r="N81">
        <v>77.83</v>
      </c>
      <c r="O81">
        <v>1148</v>
      </c>
      <c r="P81">
        <v>385.29</v>
      </c>
      <c r="Q81">
        <v>6433</v>
      </c>
      <c r="R81" s="56">
        <v>64.959999999999994</v>
      </c>
      <c r="S81" s="56">
        <v>71.430000000000007</v>
      </c>
      <c r="T81">
        <v>472242947</v>
      </c>
      <c r="U81">
        <v>476697241</v>
      </c>
      <c r="V81">
        <v>1030.7</v>
      </c>
      <c r="W81">
        <v>5</v>
      </c>
    </row>
    <row r="82" spans="1:23" x14ac:dyDescent="0.55000000000000004">
      <c r="A82" s="1">
        <v>1</v>
      </c>
      <c r="B82" s="1">
        <v>96</v>
      </c>
      <c r="C82" s="1">
        <v>1638</v>
      </c>
      <c r="D82" t="s">
        <v>83</v>
      </c>
      <c r="E82">
        <v>1450.4</v>
      </c>
      <c r="F82">
        <v>121</v>
      </c>
      <c r="G82">
        <v>7988</v>
      </c>
      <c r="H82" s="38">
        <v>11585795</v>
      </c>
      <c r="I82" s="38">
        <v>338572</v>
      </c>
      <c r="J82">
        <v>953.54</v>
      </c>
      <c r="K82">
        <v>0</v>
      </c>
      <c r="L82">
        <v>79.64</v>
      </c>
      <c r="M82">
        <v>0</v>
      </c>
      <c r="N82">
        <v>78.430000000000007</v>
      </c>
      <c r="O82">
        <v>0</v>
      </c>
      <c r="P82">
        <v>385.29</v>
      </c>
      <c r="Q82">
        <v>0</v>
      </c>
      <c r="R82" s="56">
        <v>65.260000000000005</v>
      </c>
      <c r="S82" s="56">
        <v>72.69</v>
      </c>
      <c r="T82">
        <v>917013678</v>
      </c>
      <c r="U82">
        <v>924629084</v>
      </c>
      <c r="V82">
        <v>1427.9</v>
      </c>
      <c r="W82">
        <v>180</v>
      </c>
    </row>
    <row r="83" spans="1:23" x14ac:dyDescent="0.55000000000000004">
      <c r="A83" s="1">
        <v>9</v>
      </c>
      <c r="B83" s="1">
        <v>23</v>
      </c>
      <c r="C83" s="1">
        <v>1675</v>
      </c>
      <c r="D83" t="s">
        <v>84</v>
      </c>
      <c r="E83">
        <v>172</v>
      </c>
      <c r="F83">
        <v>0</v>
      </c>
      <c r="G83">
        <v>8123</v>
      </c>
      <c r="H83" s="38">
        <v>1397156</v>
      </c>
      <c r="I83" s="38">
        <v>75200</v>
      </c>
      <c r="J83">
        <v>1575.03</v>
      </c>
      <c r="K83">
        <v>0</v>
      </c>
      <c r="L83">
        <v>53.98</v>
      </c>
      <c r="M83">
        <v>315</v>
      </c>
      <c r="N83">
        <v>80.900000000000006</v>
      </c>
      <c r="O83">
        <v>586</v>
      </c>
      <c r="P83">
        <v>385.29</v>
      </c>
      <c r="Q83">
        <v>2856</v>
      </c>
      <c r="R83" s="56">
        <v>64.8</v>
      </c>
      <c r="S83" s="56">
        <v>70.86</v>
      </c>
      <c r="T83">
        <v>113193768</v>
      </c>
      <c r="U83">
        <v>113193768</v>
      </c>
      <c r="V83">
        <v>172</v>
      </c>
      <c r="W83">
        <v>0</v>
      </c>
    </row>
    <row r="84" spans="1:23" x14ac:dyDescent="0.55000000000000004">
      <c r="A84" s="1">
        <v>12</v>
      </c>
      <c r="B84" s="1">
        <v>24</v>
      </c>
      <c r="C84" s="1">
        <v>1701</v>
      </c>
      <c r="D84" t="s">
        <v>85</v>
      </c>
      <c r="E84">
        <v>1977</v>
      </c>
      <c r="F84">
        <v>135</v>
      </c>
      <c r="G84">
        <v>7988</v>
      </c>
      <c r="H84" s="38">
        <v>15792276</v>
      </c>
      <c r="I84" s="38">
        <v>0</v>
      </c>
      <c r="J84">
        <v>754.74</v>
      </c>
      <c r="K84">
        <v>0</v>
      </c>
      <c r="L84">
        <v>78.38</v>
      </c>
      <c r="M84">
        <v>0</v>
      </c>
      <c r="N84">
        <v>94.2</v>
      </c>
      <c r="O84">
        <v>0</v>
      </c>
      <c r="P84">
        <v>385.29</v>
      </c>
      <c r="Q84">
        <v>0</v>
      </c>
      <c r="R84" s="56">
        <v>65.27</v>
      </c>
      <c r="S84" s="56">
        <v>73.06</v>
      </c>
      <c r="T84">
        <v>547871923</v>
      </c>
      <c r="U84">
        <v>548563412</v>
      </c>
      <c r="V84">
        <v>1946.4</v>
      </c>
      <c r="W84">
        <v>142</v>
      </c>
    </row>
    <row r="85" spans="1:23" x14ac:dyDescent="0.55000000000000004">
      <c r="A85" s="1">
        <v>7</v>
      </c>
      <c r="B85" s="1">
        <v>9</v>
      </c>
      <c r="C85" s="1">
        <v>1719</v>
      </c>
      <c r="D85" t="s">
        <v>86</v>
      </c>
      <c r="E85">
        <v>872.2</v>
      </c>
      <c r="F85">
        <v>7</v>
      </c>
      <c r="G85">
        <v>7988</v>
      </c>
      <c r="H85" s="38">
        <v>6967134</v>
      </c>
      <c r="I85" s="38">
        <v>0</v>
      </c>
      <c r="J85">
        <v>921.23</v>
      </c>
      <c r="K85">
        <v>0</v>
      </c>
      <c r="L85">
        <v>67.31</v>
      </c>
      <c r="M85">
        <v>0</v>
      </c>
      <c r="N85">
        <v>67.62</v>
      </c>
      <c r="O85">
        <v>0</v>
      </c>
      <c r="P85">
        <v>385.29</v>
      </c>
      <c r="Q85">
        <v>0</v>
      </c>
      <c r="R85" s="56">
        <v>65.290000000000006</v>
      </c>
      <c r="S85" s="56">
        <v>72.78</v>
      </c>
      <c r="T85">
        <v>279024712</v>
      </c>
      <c r="U85">
        <v>285602103</v>
      </c>
      <c r="V85">
        <v>866.6</v>
      </c>
      <c r="W85">
        <v>6</v>
      </c>
    </row>
    <row r="86" spans="1:23" x14ac:dyDescent="0.55000000000000004">
      <c r="A86" s="1">
        <v>11</v>
      </c>
      <c r="B86" s="1">
        <v>77</v>
      </c>
      <c r="C86" s="1">
        <v>1737</v>
      </c>
      <c r="D86" t="s">
        <v>87</v>
      </c>
      <c r="E86">
        <v>30836.3</v>
      </c>
      <c r="F86">
        <v>2242</v>
      </c>
      <c r="G86">
        <v>8016</v>
      </c>
      <c r="H86" s="39">
        <v>247183781</v>
      </c>
      <c r="I86" s="39">
        <v>0</v>
      </c>
      <c r="J86">
        <v>713.46</v>
      </c>
      <c r="K86">
        <v>0</v>
      </c>
      <c r="L86">
        <v>87.57</v>
      </c>
      <c r="M86">
        <v>0</v>
      </c>
      <c r="N86">
        <v>104.17</v>
      </c>
      <c r="O86">
        <v>0</v>
      </c>
      <c r="P86">
        <v>385.29</v>
      </c>
      <c r="Q86">
        <v>0</v>
      </c>
      <c r="R86" s="57">
        <v>64.86</v>
      </c>
      <c r="S86" s="57">
        <v>71.28</v>
      </c>
      <c r="T86">
        <v>9295147760</v>
      </c>
      <c r="U86">
        <v>10678039770</v>
      </c>
      <c r="V86">
        <v>30159.7</v>
      </c>
      <c r="W86">
        <v>3121</v>
      </c>
    </row>
    <row r="87" spans="1:23" x14ac:dyDescent="0.55000000000000004">
      <c r="A87" s="1">
        <v>13</v>
      </c>
      <c r="B87" s="1">
        <v>80</v>
      </c>
      <c r="C87" s="1">
        <v>1782</v>
      </c>
      <c r="D87" t="s">
        <v>88</v>
      </c>
      <c r="E87">
        <v>90</v>
      </c>
      <c r="F87">
        <v>0</v>
      </c>
      <c r="G87">
        <v>7988</v>
      </c>
      <c r="H87" s="38">
        <v>718920</v>
      </c>
      <c r="I87" s="38">
        <v>0</v>
      </c>
      <c r="J87">
        <v>3360.03</v>
      </c>
      <c r="K87">
        <v>0</v>
      </c>
      <c r="L87">
        <v>106.22</v>
      </c>
      <c r="M87">
        <v>0</v>
      </c>
      <c r="N87">
        <v>116.88</v>
      </c>
      <c r="O87">
        <v>0</v>
      </c>
      <c r="P87">
        <v>385.29</v>
      </c>
      <c r="Q87">
        <v>0</v>
      </c>
      <c r="R87" s="56">
        <v>64.989999999999995</v>
      </c>
      <c r="S87" s="56">
        <v>71.86</v>
      </c>
      <c r="T87">
        <v>53430678</v>
      </c>
      <c r="U87">
        <v>53430678</v>
      </c>
      <c r="V87">
        <v>97</v>
      </c>
      <c r="W87">
        <v>0</v>
      </c>
    </row>
    <row r="88" spans="1:23" x14ac:dyDescent="0.55000000000000004">
      <c r="A88" s="1">
        <v>7</v>
      </c>
      <c r="B88" s="1">
        <v>38</v>
      </c>
      <c r="C88" s="1">
        <v>1791</v>
      </c>
      <c r="D88" t="s">
        <v>89</v>
      </c>
      <c r="E88">
        <v>851.6</v>
      </c>
      <c r="F88">
        <v>6</v>
      </c>
      <c r="G88">
        <v>7988</v>
      </c>
      <c r="H88" s="38">
        <v>6802581</v>
      </c>
      <c r="I88" s="38">
        <v>93886</v>
      </c>
      <c r="J88">
        <v>1006.39</v>
      </c>
      <c r="K88">
        <v>0</v>
      </c>
      <c r="L88">
        <v>75.400000000000006</v>
      </c>
      <c r="M88">
        <v>167</v>
      </c>
      <c r="N88">
        <v>73.150000000000006</v>
      </c>
      <c r="O88">
        <v>0</v>
      </c>
      <c r="P88">
        <v>385.29</v>
      </c>
      <c r="Q88">
        <v>1042</v>
      </c>
      <c r="R88" s="56">
        <v>65.290000000000006</v>
      </c>
      <c r="S88" s="56">
        <v>72.78</v>
      </c>
      <c r="T88">
        <v>358672005</v>
      </c>
      <c r="U88">
        <v>365674736</v>
      </c>
      <c r="V88">
        <v>832.1</v>
      </c>
      <c r="W88">
        <v>16</v>
      </c>
    </row>
    <row r="89" spans="1:23" x14ac:dyDescent="0.55000000000000004">
      <c r="A89" s="1">
        <v>1</v>
      </c>
      <c r="B89" s="1">
        <v>31</v>
      </c>
      <c r="C89" s="1">
        <v>1863</v>
      </c>
      <c r="D89" t="s">
        <v>90</v>
      </c>
      <c r="E89">
        <v>9862.9</v>
      </c>
      <c r="F89">
        <v>1251</v>
      </c>
      <c r="G89">
        <v>7988</v>
      </c>
      <c r="H89" s="38">
        <v>78784845</v>
      </c>
      <c r="I89" s="38">
        <v>226138</v>
      </c>
      <c r="J89">
        <v>891.58</v>
      </c>
      <c r="K89">
        <v>0</v>
      </c>
      <c r="L89">
        <v>83</v>
      </c>
      <c r="M89">
        <v>0</v>
      </c>
      <c r="N89">
        <v>84.72</v>
      </c>
      <c r="O89">
        <v>0</v>
      </c>
      <c r="P89">
        <v>385.29</v>
      </c>
      <c r="Q89">
        <v>0</v>
      </c>
      <c r="R89" s="56">
        <v>65.260000000000005</v>
      </c>
      <c r="S89" s="56">
        <v>72.69</v>
      </c>
      <c r="T89">
        <v>4383035339</v>
      </c>
      <c r="U89">
        <v>5045961158</v>
      </c>
      <c r="V89">
        <v>9665.7000000000007</v>
      </c>
      <c r="W89">
        <v>1970</v>
      </c>
    </row>
    <row r="90" spans="1:23" x14ac:dyDescent="0.55000000000000004">
      <c r="A90" s="1">
        <v>7</v>
      </c>
      <c r="B90" s="1">
        <v>7</v>
      </c>
      <c r="C90" s="1">
        <v>1908</v>
      </c>
      <c r="D90" t="s">
        <v>91</v>
      </c>
      <c r="E90">
        <v>344.5</v>
      </c>
      <c r="F90">
        <v>12</v>
      </c>
      <c r="G90">
        <v>7988</v>
      </c>
      <c r="H90" s="38">
        <v>2751866</v>
      </c>
      <c r="I90" s="38">
        <v>88925</v>
      </c>
      <c r="J90">
        <v>1418.35</v>
      </c>
      <c r="K90">
        <v>0</v>
      </c>
      <c r="L90">
        <v>75.39</v>
      </c>
      <c r="M90">
        <v>115</v>
      </c>
      <c r="N90">
        <v>81.23</v>
      </c>
      <c r="O90">
        <v>117</v>
      </c>
      <c r="P90">
        <v>385.29</v>
      </c>
      <c r="Q90">
        <v>670</v>
      </c>
      <c r="R90" s="56">
        <v>65.290000000000006</v>
      </c>
      <c r="S90" s="56">
        <v>72.78</v>
      </c>
      <c r="T90">
        <v>197203572</v>
      </c>
      <c r="U90">
        <v>197203572</v>
      </c>
      <c r="V90">
        <v>331.4</v>
      </c>
      <c r="W90">
        <v>19</v>
      </c>
    </row>
    <row r="91" spans="1:23" x14ac:dyDescent="0.55000000000000004">
      <c r="A91" s="1">
        <v>9</v>
      </c>
      <c r="B91" s="1">
        <v>16</v>
      </c>
      <c r="C91" s="1">
        <v>1926</v>
      </c>
      <c r="D91" t="s">
        <v>92</v>
      </c>
      <c r="E91">
        <v>470.7</v>
      </c>
      <c r="F91">
        <v>3</v>
      </c>
      <c r="G91">
        <v>7994</v>
      </c>
      <c r="H91" s="38">
        <v>3762776</v>
      </c>
      <c r="I91" s="38">
        <v>118130</v>
      </c>
      <c r="J91">
        <v>1036.19</v>
      </c>
      <c r="K91">
        <v>0</v>
      </c>
      <c r="L91">
        <v>89.11</v>
      </c>
      <c r="M91">
        <v>997</v>
      </c>
      <c r="N91">
        <v>75.150000000000006</v>
      </c>
      <c r="O91">
        <v>654</v>
      </c>
      <c r="P91">
        <v>385.29</v>
      </c>
      <c r="Q91">
        <v>3827</v>
      </c>
      <c r="R91" s="56">
        <v>64.8</v>
      </c>
      <c r="S91" s="56">
        <v>70.86</v>
      </c>
      <c r="T91">
        <v>301757539</v>
      </c>
      <c r="U91">
        <v>302667308</v>
      </c>
      <c r="V91">
        <v>443.7</v>
      </c>
      <c r="W91">
        <v>7</v>
      </c>
    </row>
    <row r="92" spans="1:23" x14ac:dyDescent="0.55000000000000004">
      <c r="A92" s="1">
        <v>5</v>
      </c>
      <c r="B92" s="1">
        <v>99</v>
      </c>
      <c r="C92" s="1">
        <v>1944</v>
      </c>
      <c r="D92" t="s">
        <v>93</v>
      </c>
      <c r="E92">
        <v>975.1</v>
      </c>
      <c r="F92">
        <v>4</v>
      </c>
      <c r="G92">
        <v>8066</v>
      </c>
      <c r="H92" s="38">
        <v>7865157</v>
      </c>
      <c r="I92" s="38">
        <v>0</v>
      </c>
      <c r="J92">
        <v>1146.52</v>
      </c>
      <c r="K92">
        <v>0</v>
      </c>
      <c r="L92">
        <v>76.95</v>
      </c>
      <c r="M92">
        <v>0</v>
      </c>
      <c r="N92">
        <v>86.25</v>
      </c>
      <c r="O92">
        <v>0</v>
      </c>
      <c r="P92">
        <v>385.29</v>
      </c>
      <c r="Q92">
        <v>0</v>
      </c>
      <c r="R92" s="56">
        <v>65.34</v>
      </c>
      <c r="S92" s="56">
        <v>73.16</v>
      </c>
      <c r="T92">
        <v>399518008</v>
      </c>
      <c r="U92">
        <v>473920348</v>
      </c>
      <c r="V92">
        <v>913.7</v>
      </c>
      <c r="W92">
        <v>9</v>
      </c>
    </row>
    <row r="93" spans="1:23" x14ac:dyDescent="0.55000000000000004">
      <c r="A93" s="1">
        <v>11</v>
      </c>
      <c r="B93" s="1">
        <v>61</v>
      </c>
      <c r="C93" s="1">
        <v>1953</v>
      </c>
      <c r="D93" t="s">
        <v>94</v>
      </c>
      <c r="E93">
        <v>573.79999999999995</v>
      </c>
      <c r="F93">
        <v>2</v>
      </c>
      <c r="G93">
        <v>7988</v>
      </c>
      <c r="H93" s="38">
        <v>4583514</v>
      </c>
      <c r="I93" s="38">
        <v>0</v>
      </c>
      <c r="J93">
        <v>1478.34</v>
      </c>
      <c r="K93">
        <v>0</v>
      </c>
      <c r="L93">
        <v>73.989999999999995</v>
      </c>
      <c r="M93">
        <v>0</v>
      </c>
      <c r="N93">
        <v>83.5</v>
      </c>
      <c r="O93">
        <v>0</v>
      </c>
      <c r="P93">
        <v>385.29</v>
      </c>
      <c r="Q93">
        <v>0</v>
      </c>
      <c r="R93" s="56">
        <v>64.86</v>
      </c>
      <c r="S93" s="56">
        <v>71.28</v>
      </c>
      <c r="T93">
        <v>254304907</v>
      </c>
      <c r="U93">
        <v>255649982</v>
      </c>
      <c r="V93">
        <v>573.4</v>
      </c>
      <c r="W93">
        <v>9</v>
      </c>
    </row>
    <row r="94" spans="1:23" x14ac:dyDescent="0.55000000000000004">
      <c r="A94" s="1">
        <v>7</v>
      </c>
      <c r="B94" s="1">
        <v>10</v>
      </c>
      <c r="C94" s="1">
        <v>1963</v>
      </c>
      <c r="D94" t="s">
        <v>95</v>
      </c>
      <c r="E94">
        <v>509.2</v>
      </c>
      <c r="F94">
        <v>5</v>
      </c>
      <c r="G94">
        <v>7988</v>
      </c>
      <c r="H94" s="38">
        <v>4067490</v>
      </c>
      <c r="I94" s="38">
        <v>157337</v>
      </c>
      <c r="J94">
        <v>1059.29</v>
      </c>
      <c r="K94">
        <v>0</v>
      </c>
      <c r="L94">
        <v>75.86</v>
      </c>
      <c r="M94">
        <v>802</v>
      </c>
      <c r="N94">
        <v>80.180000000000007</v>
      </c>
      <c r="O94">
        <v>818</v>
      </c>
      <c r="P94">
        <v>385.29</v>
      </c>
      <c r="Q94">
        <v>4164</v>
      </c>
      <c r="R94" s="56">
        <v>65.290000000000006</v>
      </c>
      <c r="S94" s="56">
        <v>72.78</v>
      </c>
      <c r="T94">
        <v>254744399</v>
      </c>
      <c r="U94">
        <v>254749629</v>
      </c>
      <c r="V94">
        <v>484.9</v>
      </c>
      <c r="W94">
        <v>11</v>
      </c>
    </row>
    <row r="95" spans="1:23" x14ac:dyDescent="0.55000000000000004">
      <c r="A95" s="1">
        <v>7</v>
      </c>
      <c r="B95" s="1">
        <v>64</v>
      </c>
      <c r="C95" s="1">
        <v>1968</v>
      </c>
      <c r="D95" t="s">
        <v>96</v>
      </c>
      <c r="E95">
        <v>489.2</v>
      </c>
      <c r="F95">
        <v>13</v>
      </c>
      <c r="G95">
        <v>8032</v>
      </c>
      <c r="H95" s="38">
        <v>3929254</v>
      </c>
      <c r="I95" s="38">
        <v>139090</v>
      </c>
      <c r="J95">
        <v>1415.17</v>
      </c>
      <c r="K95">
        <v>0</v>
      </c>
      <c r="L95">
        <v>83.3</v>
      </c>
      <c r="M95">
        <v>570</v>
      </c>
      <c r="N95">
        <v>84.85</v>
      </c>
      <c r="O95">
        <v>522</v>
      </c>
      <c r="P95">
        <v>385.29</v>
      </c>
      <c r="Q95">
        <v>2365</v>
      </c>
      <c r="R95" s="56">
        <v>65.290000000000006</v>
      </c>
      <c r="S95" s="56">
        <v>72.78</v>
      </c>
      <c r="T95">
        <v>345071482</v>
      </c>
      <c r="U95">
        <v>345071482</v>
      </c>
      <c r="V95">
        <v>486.2</v>
      </c>
      <c r="W95">
        <v>17</v>
      </c>
    </row>
    <row r="96" spans="1:23" x14ac:dyDescent="0.55000000000000004">
      <c r="A96" s="1">
        <v>13</v>
      </c>
      <c r="B96" s="1">
        <v>65</v>
      </c>
      <c r="C96" s="1">
        <v>3978</v>
      </c>
      <c r="D96" t="s">
        <v>97</v>
      </c>
      <c r="E96">
        <v>550</v>
      </c>
      <c r="F96">
        <v>4</v>
      </c>
      <c r="G96">
        <v>8012</v>
      </c>
      <c r="H96" s="38">
        <v>4406600</v>
      </c>
      <c r="I96" s="38">
        <v>0</v>
      </c>
      <c r="J96">
        <v>1206.6400000000001</v>
      </c>
      <c r="K96">
        <v>0</v>
      </c>
      <c r="L96">
        <v>82.6</v>
      </c>
      <c r="M96">
        <v>0</v>
      </c>
      <c r="N96">
        <v>76.62</v>
      </c>
      <c r="O96">
        <v>0</v>
      </c>
      <c r="P96">
        <v>385.29</v>
      </c>
      <c r="Q96">
        <v>0</v>
      </c>
      <c r="R96" s="56">
        <v>64.989999999999995</v>
      </c>
      <c r="S96" s="56">
        <v>71.86</v>
      </c>
      <c r="T96">
        <v>412209788</v>
      </c>
      <c r="U96">
        <v>416733614</v>
      </c>
      <c r="V96">
        <v>527</v>
      </c>
      <c r="W96">
        <v>5</v>
      </c>
    </row>
    <row r="97" spans="1:23" x14ac:dyDescent="0.55000000000000004">
      <c r="A97" s="1">
        <v>5</v>
      </c>
      <c r="B97" s="1">
        <v>81</v>
      </c>
      <c r="C97" s="1">
        <v>6741</v>
      </c>
      <c r="D97" t="s">
        <v>98</v>
      </c>
      <c r="E97">
        <v>807</v>
      </c>
      <c r="F97">
        <v>40</v>
      </c>
      <c r="G97">
        <v>7988</v>
      </c>
      <c r="H97" s="38">
        <v>6446316</v>
      </c>
      <c r="I97" s="38">
        <v>228041</v>
      </c>
      <c r="J97">
        <v>1067</v>
      </c>
      <c r="K97">
        <v>0</v>
      </c>
      <c r="L97">
        <v>77.260000000000005</v>
      </c>
      <c r="M97">
        <v>0</v>
      </c>
      <c r="N97">
        <v>83.88</v>
      </c>
      <c r="O97">
        <v>0</v>
      </c>
      <c r="P97">
        <v>385.29</v>
      </c>
      <c r="Q97">
        <v>0</v>
      </c>
      <c r="R97" s="56">
        <v>65.34</v>
      </c>
      <c r="S97" s="56">
        <v>73.16</v>
      </c>
      <c r="T97">
        <v>532783796</v>
      </c>
      <c r="U97">
        <v>546548111</v>
      </c>
      <c r="V97">
        <v>787.1</v>
      </c>
      <c r="W97">
        <v>54</v>
      </c>
    </row>
    <row r="98" spans="1:23" x14ac:dyDescent="0.55000000000000004">
      <c r="A98" s="1">
        <v>13</v>
      </c>
      <c r="B98" s="1">
        <v>88</v>
      </c>
      <c r="C98" s="1">
        <v>1970</v>
      </c>
      <c r="D98" t="s">
        <v>99</v>
      </c>
      <c r="E98">
        <v>449</v>
      </c>
      <c r="F98">
        <v>9</v>
      </c>
      <c r="G98">
        <v>7988</v>
      </c>
      <c r="H98" s="38">
        <v>3586612</v>
      </c>
      <c r="I98" s="38">
        <v>0</v>
      </c>
      <c r="J98">
        <v>1485.61</v>
      </c>
      <c r="K98">
        <v>0</v>
      </c>
      <c r="L98">
        <v>70.14</v>
      </c>
      <c r="M98">
        <v>0</v>
      </c>
      <c r="N98">
        <v>85.51</v>
      </c>
      <c r="O98">
        <v>0</v>
      </c>
      <c r="P98">
        <v>385.29</v>
      </c>
      <c r="Q98">
        <v>0</v>
      </c>
      <c r="R98" s="56">
        <v>64.989999999999995</v>
      </c>
      <c r="S98" s="56">
        <v>71.86</v>
      </c>
      <c r="T98">
        <v>193315826</v>
      </c>
      <c r="U98">
        <v>193315826</v>
      </c>
      <c r="V98">
        <v>444.8</v>
      </c>
      <c r="W98">
        <v>16</v>
      </c>
    </row>
    <row r="99" spans="1:23" x14ac:dyDescent="0.55000000000000004">
      <c r="A99" s="1">
        <v>1</v>
      </c>
      <c r="B99" s="1">
        <v>3</v>
      </c>
      <c r="C99" s="1">
        <v>1972</v>
      </c>
      <c r="D99" t="s">
        <v>100</v>
      </c>
      <c r="E99">
        <v>307</v>
      </c>
      <c r="F99">
        <v>10</v>
      </c>
      <c r="G99">
        <v>7988</v>
      </c>
      <c r="H99" s="38">
        <v>2452316</v>
      </c>
      <c r="I99" s="38">
        <v>0</v>
      </c>
      <c r="J99">
        <v>1861.6</v>
      </c>
      <c r="K99">
        <v>0</v>
      </c>
      <c r="L99">
        <v>74</v>
      </c>
      <c r="M99">
        <v>0</v>
      </c>
      <c r="N99">
        <v>88.46</v>
      </c>
      <c r="O99">
        <v>0</v>
      </c>
      <c r="P99">
        <v>385.29</v>
      </c>
      <c r="Q99">
        <v>0</v>
      </c>
      <c r="R99" s="56">
        <v>65.260000000000005</v>
      </c>
      <c r="S99" s="56">
        <v>72.69</v>
      </c>
      <c r="T99">
        <v>214280188</v>
      </c>
      <c r="U99">
        <v>214280188</v>
      </c>
      <c r="V99">
        <v>305</v>
      </c>
      <c r="W99">
        <v>7</v>
      </c>
    </row>
    <row r="100" spans="1:23" x14ac:dyDescent="0.55000000000000004">
      <c r="A100" s="1">
        <v>9</v>
      </c>
      <c r="B100" s="1">
        <v>49</v>
      </c>
      <c r="C100" s="1">
        <v>1965</v>
      </c>
      <c r="D100" t="s">
        <v>101</v>
      </c>
      <c r="E100">
        <v>531.6</v>
      </c>
      <c r="F100">
        <v>3</v>
      </c>
      <c r="G100">
        <v>7988</v>
      </c>
      <c r="H100" s="38">
        <v>4246421</v>
      </c>
      <c r="I100" s="38">
        <v>134911</v>
      </c>
      <c r="J100">
        <v>1621.25</v>
      </c>
      <c r="K100">
        <v>0</v>
      </c>
      <c r="L100">
        <v>76.73</v>
      </c>
      <c r="M100">
        <v>744</v>
      </c>
      <c r="N100">
        <v>73.069999999999993</v>
      </c>
      <c r="O100">
        <v>591</v>
      </c>
      <c r="P100">
        <v>385.29</v>
      </c>
      <c r="Q100">
        <v>3783</v>
      </c>
      <c r="R100" s="56">
        <v>64.8</v>
      </c>
      <c r="S100" s="56">
        <v>70.86</v>
      </c>
      <c r="T100">
        <v>291857784</v>
      </c>
      <c r="U100">
        <v>297219512</v>
      </c>
      <c r="V100">
        <v>519.1</v>
      </c>
      <c r="W100">
        <v>5</v>
      </c>
    </row>
    <row r="101" spans="1:23" x14ac:dyDescent="0.55000000000000004">
      <c r="A101" s="1">
        <v>15</v>
      </c>
      <c r="B101" s="1">
        <v>90</v>
      </c>
      <c r="C101" s="1">
        <v>657</v>
      </c>
      <c r="D101" t="s">
        <v>102</v>
      </c>
      <c r="E101">
        <v>789.1</v>
      </c>
      <c r="F101">
        <v>15</v>
      </c>
      <c r="G101">
        <v>7988</v>
      </c>
      <c r="H101" s="38">
        <v>6303331</v>
      </c>
      <c r="I101" s="38">
        <v>0</v>
      </c>
      <c r="J101">
        <v>1389.15</v>
      </c>
      <c r="K101">
        <v>0</v>
      </c>
      <c r="L101">
        <v>74.69</v>
      </c>
      <c r="M101">
        <v>0</v>
      </c>
      <c r="N101">
        <v>89.52</v>
      </c>
      <c r="O101">
        <v>0</v>
      </c>
      <c r="P101">
        <v>385.29</v>
      </c>
      <c r="Q101">
        <v>0</v>
      </c>
      <c r="R101" s="56">
        <v>64.959999999999994</v>
      </c>
      <c r="S101" s="56">
        <v>71.430000000000007</v>
      </c>
      <c r="T101">
        <v>588466396</v>
      </c>
      <c r="U101">
        <v>588466396</v>
      </c>
      <c r="V101">
        <v>786.2</v>
      </c>
      <c r="W101">
        <v>16</v>
      </c>
    </row>
    <row r="102" spans="1:23" x14ac:dyDescent="0.55000000000000004">
      <c r="A102" s="1">
        <v>1</v>
      </c>
      <c r="B102" s="1">
        <v>28</v>
      </c>
      <c r="C102" s="1">
        <v>1989</v>
      </c>
      <c r="D102" t="s">
        <v>103</v>
      </c>
      <c r="E102">
        <v>378</v>
      </c>
      <c r="F102">
        <v>18</v>
      </c>
      <c r="G102">
        <v>7988</v>
      </c>
      <c r="H102" s="38">
        <v>3019464</v>
      </c>
      <c r="I102" s="38">
        <v>79006</v>
      </c>
      <c r="J102">
        <v>1741.67</v>
      </c>
      <c r="K102">
        <v>0</v>
      </c>
      <c r="L102">
        <v>82.84</v>
      </c>
      <c r="M102">
        <v>0</v>
      </c>
      <c r="N102">
        <v>89.11</v>
      </c>
      <c r="O102">
        <v>0</v>
      </c>
      <c r="P102">
        <v>385.29</v>
      </c>
      <c r="Q102">
        <v>0</v>
      </c>
      <c r="R102" s="56">
        <v>65.260000000000005</v>
      </c>
      <c r="S102" s="56">
        <v>72.69</v>
      </c>
      <c r="T102">
        <v>203365980</v>
      </c>
      <c r="U102">
        <v>214312783</v>
      </c>
      <c r="V102">
        <v>382</v>
      </c>
      <c r="W102">
        <v>17</v>
      </c>
    </row>
    <row r="103" spans="1:23" x14ac:dyDescent="0.55000000000000004">
      <c r="A103" s="1">
        <v>7</v>
      </c>
      <c r="B103" s="1">
        <v>42</v>
      </c>
      <c r="C103" s="1">
        <v>2007</v>
      </c>
      <c r="D103" t="s">
        <v>104</v>
      </c>
      <c r="E103">
        <v>528.79999999999995</v>
      </c>
      <c r="F103">
        <v>10</v>
      </c>
      <c r="G103">
        <v>7988</v>
      </c>
      <c r="H103" s="38">
        <v>4224054</v>
      </c>
      <c r="I103" s="38">
        <v>50570</v>
      </c>
      <c r="J103">
        <v>992.59</v>
      </c>
      <c r="K103">
        <v>0</v>
      </c>
      <c r="L103">
        <v>82.73</v>
      </c>
      <c r="M103">
        <v>0</v>
      </c>
      <c r="N103">
        <v>83.32</v>
      </c>
      <c r="O103">
        <v>0</v>
      </c>
      <c r="P103">
        <v>385.29</v>
      </c>
      <c r="Q103">
        <v>0</v>
      </c>
      <c r="R103" s="56">
        <v>65.290000000000006</v>
      </c>
      <c r="S103" s="56">
        <v>72.78</v>
      </c>
      <c r="T103">
        <v>251885480</v>
      </c>
      <c r="U103">
        <v>252135071</v>
      </c>
      <c r="V103">
        <v>515.70000000000005</v>
      </c>
      <c r="W103">
        <v>7</v>
      </c>
    </row>
    <row r="104" spans="1:23" x14ac:dyDescent="0.55000000000000004">
      <c r="A104" s="1">
        <v>5</v>
      </c>
      <c r="B104" s="1">
        <v>74</v>
      </c>
      <c r="C104" s="1">
        <v>2088</v>
      </c>
      <c r="D104" t="s">
        <v>105</v>
      </c>
      <c r="E104">
        <v>603.6</v>
      </c>
      <c r="F104">
        <v>68</v>
      </c>
      <c r="G104">
        <v>8071</v>
      </c>
      <c r="H104" s="38">
        <v>4871656</v>
      </c>
      <c r="I104" s="38">
        <v>262338</v>
      </c>
      <c r="J104">
        <v>986.35</v>
      </c>
      <c r="K104">
        <v>0</v>
      </c>
      <c r="L104">
        <v>79.72</v>
      </c>
      <c r="M104">
        <v>207</v>
      </c>
      <c r="N104">
        <v>82.47</v>
      </c>
      <c r="O104">
        <v>154</v>
      </c>
      <c r="P104">
        <v>385.29</v>
      </c>
      <c r="Q104">
        <v>860</v>
      </c>
      <c r="R104" s="56">
        <v>65.34</v>
      </c>
      <c r="S104" s="56">
        <v>73.16</v>
      </c>
      <c r="T104">
        <v>446073860</v>
      </c>
      <c r="U104">
        <v>501445465</v>
      </c>
      <c r="V104">
        <v>584.70000000000005</v>
      </c>
      <c r="W104">
        <v>83</v>
      </c>
    </row>
    <row r="105" spans="1:23" x14ac:dyDescent="0.55000000000000004">
      <c r="A105" s="1">
        <v>10</v>
      </c>
      <c r="B105" s="1">
        <v>48</v>
      </c>
      <c r="C105" s="1">
        <v>2097</v>
      </c>
      <c r="D105" t="s">
        <v>106</v>
      </c>
      <c r="E105">
        <v>443.4</v>
      </c>
      <c r="F105">
        <v>6</v>
      </c>
      <c r="G105">
        <v>8021</v>
      </c>
      <c r="H105" s="38">
        <v>3556511</v>
      </c>
      <c r="I105" s="38">
        <v>12912</v>
      </c>
      <c r="J105">
        <v>1220.93</v>
      </c>
      <c r="K105">
        <v>0</v>
      </c>
      <c r="L105">
        <v>83.58</v>
      </c>
      <c r="M105">
        <v>0</v>
      </c>
      <c r="N105">
        <v>86.49</v>
      </c>
      <c r="O105">
        <v>0</v>
      </c>
      <c r="P105">
        <v>385.29</v>
      </c>
      <c r="Q105">
        <v>0</v>
      </c>
      <c r="R105" s="56">
        <v>64.98</v>
      </c>
      <c r="S105" s="56">
        <v>71.459999999999994</v>
      </c>
      <c r="T105">
        <v>249807696</v>
      </c>
      <c r="U105">
        <v>253722049</v>
      </c>
      <c r="V105">
        <v>440.5</v>
      </c>
      <c r="W105">
        <v>7</v>
      </c>
    </row>
    <row r="106" spans="1:23" x14ac:dyDescent="0.55000000000000004">
      <c r="A106" s="1">
        <v>13</v>
      </c>
      <c r="B106" s="1">
        <v>73</v>
      </c>
      <c r="C106" s="1">
        <v>2113</v>
      </c>
      <c r="D106" t="s">
        <v>107</v>
      </c>
      <c r="E106">
        <v>163</v>
      </c>
      <c r="F106">
        <v>1</v>
      </c>
      <c r="G106">
        <v>7988</v>
      </c>
      <c r="H106" s="38">
        <v>1302044</v>
      </c>
      <c r="I106" s="38">
        <v>90686</v>
      </c>
      <c r="J106">
        <v>1967.93</v>
      </c>
      <c r="K106">
        <v>0</v>
      </c>
      <c r="L106">
        <v>76.069999999999993</v>
      </c>
      <c r="M106">
        <v>735</v>
      </c>
      <c r="N106">
        <v>107.57</v>
      </c>
      <c r="O106">
        <v>1126</v>
      </c>
      <c r="P106">
        <v>385.29</v>
      </c>
      <c r="Q106">
        <v>3748</v>
      </c>
      <c r="R106" s="56">
        <v>64.989999999999995</v>
      </c>
      <c r="S106" s="56">
        <v>71.86</v>
      </c>
      <c r="T106">
        <v>114405453</v>
      </c>
      <c r="U106">
        <v>114405453</v>
      </c>
      <c r="V106">
        <v>178.1</v>
      </c>
      <c r="W106">
        <v>2</v>
      </c>
    </row>
    <row r="107" spans="1:23" x14ac:dyDescent="0.55000000000000004">
      <c r="A107" s="1">
        <v>5</v>
      </c>
      <c r="B107" s="1">
        <v>32</v>
      </c>
      <c r="C107" s="1">
        <v>2124</v>
      </c>
      <c r="D107" t="s">
        <v>108</v>
      </c>
      <c r="E107">
        <v>1147.7</v>
      </c>
      <c r="F107">
        <v>0</v>
      </c>
      <c r="G107">
        <v>7988</v>
      </c>
      <c r="H107" s="38">
        <v>9167828</v>
      </c>
      <c r="I107" s="38">
        <v>65139</v>
      </c>
      <c r="J107">
        <v>1011.84</v>
      </c>
      <c r="K107">
        <v>0</v>
      </c>
      <c r="L107">
        <v>77.540000000000006</v>
      </c>
      <c r="M107">
        <v>0</v>
      </c>
      <c r="N107">
        <v>87.55</v>
      </c>
      <c r="O107">
        <v>0</v>
      </c>
      <c r="P107">
        <v>385.29</v>
      </c>
      <c r="Q107">
        <v>0</v>
      </c>
      <c r="R107" s="56">
        <v>65.34</v>
      </c>
      <c r="S107" s="56">
        <v>73.16</v>
      </c>
      <c r="T107">
        <v>450004372</v>
      </c>
      <c r="U107">
        <v>457161121</v>
      </c>
      <c r="V107">
        <v>1151.3</v>
      </c>
      <c r="W107">
        <v>0</v>
      </c>
    </row>
    <row r="108" spans="1:23" x14ac:dyDescent="0.55000000000000004">
      <c r="A108" s="1">
        <v>11</v>
      </c>
      <c r="B108" s="1">
        <v>5</v>
      </c>
      <c r="C108" s="1">
        <v>2151</v>
      </c>
      <c r="D108" t="s">
        <v>109</v>
      </c>
      <c r="E108">
        <v>423.5</v>
      </c>
      <c r="F108">
        <v>0</v>
      </c>
      <c r="G108">
        <v>8032</v>
      </c>
      <c r="H108" s="38">
        <v>3401552</v>
      </c>
      <c r="I108" s="38">
        <v>0</v>
      </c>
      <c r="J108">
        <v>1474.78</v>
      </c>
      <c r="K108">
        <v>0</v>
      </c>
      <c r="L108">
        <v>82.14</v>
      </c>
      <c r="M108">
        <v>0</v>
      </c>
      <c r="N108">
        <v>80.239999999999995</v>
      </c>
      <c r="O108">
        <v>0</v>
      </c>
      <c r="P108">
        <v>385.29</v>
      </c>
      <c r="Q108">
        <v>0</v>
      </c>
      <c r="R108" s="56">
        <v>64.86</v>
      </c>
      <c r="S108" s="56">
        <v>71.28</v>
      </c>
      <c r="T108">
        <v>296423877</v>
      </c>
      <c r="U108">
        <v>324222684</v>
      </c>
      <c r="V108">
        <v>400.8</v>
      </c>
      <c r="W108">
        <v>0</v>
      </c>
    </row>
    <row r="109" spans="1:23" x14ac:dyDescent="0.55000000000000004">
      <c r="A109" s="1">
        <v>15</v>
      </c>
      <c r="B109" s="1">
        <v>51</v>
      </c>
      <c r="C109" s="1">
        <v>2169</v>
      </c>
      <c r="D109" t="s">
        <v>110</v>
      </c>
      <c r="E109">
        <v>1479.7</v>
      </c>
      <c r="F109">
        <v>123</v>
      </c>
      <c r="G109">
        <v>7988</v>
      </c>
      <c r="H109" s="38">
        <v>11819844</v>
      </c>
      <c r="I109" s="38">
        <v>240476</v>
      </c>
      <c r="J109">
        <v>1150.51</v>
      </c>
      <c r="K109">
        <v>0</v>
      </c>
      <c r="L109">
        <v>74.290000000000006</v>
      </c>
      <c r="M109">
        <v>0</v>
      </c>
      <c r="N109">
        <v>81.44</v>
      </c>
      <c r="O109">
        <v>0</v>
      </c>
      <c r="P109">
        <v>385.29</v>
      </c>
      <c r="Q109">
        <v>0</v>
      </c>
      <c r="R109" s="56">
        <v>64.959999999999994</v>
      </c>
      <c r="S109" s="56">
        <v>71.430000000000007</v>
      </c>
      <c r="T109">
        <v>972345470</v>
      </c>
      <c r="U109">
        <v>998716107</v>
      </c>
      <c r="V109">
        <v>1484</v>
      </c>
      <c r="W109">
        <v>141</v>
      </c>
    </row>
    <row r="110" spans="1:23" x14ac:dyDescent="0.55000000000000004">
      <c r="A110" s="1">
        <v>7</v>
      </c>
      <c r="B110" s="1">
        <v>95</v>
      </c>
      <c r="C110" s="1">
        <v>2295</v>
      </c>
      <c r="D110" t="s">
        <v>111</v>
      </c>
      <c r="E110">
        <v>1018.8</v>
      </c>
      <c r="F110">
        <v>23</v>
      </c>
      <c r="G110">
        <v>7988</v>
      </c>
      <c r="H110" s="38">
        <v>8138174</v>
      </c>
      <c r="I110" s="38">
        <v>206353</v>
      </c>
      <c r="J110">
        <v>1031.1099999999999</v>
      </c>
      <c r="K110">
        <v>0</v>
      </c>
      <c r="L110">
        <v>83.33</v>
      </c>
      <c r="M110">
        <v>1190</v>
      </c>
      <c r="N110">
        <v>82</v>
      </c>
      <c r="O110">
        <v>994</v>
      </c>
      <c r="P110">
        <v>385.29</v>
      </c>
      <c r="Q110">
        <v>4940</v>
      </c>
      <c r="R110" s="56">
        <v>65.290000000000006</v>
      </c>
      <c r="S110" s="56">
        <v>72.78</v>
      </c>
      <c r="T110">
        <v>512543845</v>
      </c>
      <c r="U110">
        <v>573816155</v>
      </c>
      <c r="V110">
        <v>1055.2</v>
      </c>
      <c r="W110">
        <v>32</v>
      </c>
    </row>
    <row r="111" spans="1:23" x14ac:dyDescent="0.55000000000000004">
      <c r="A111" s="1">
        <v>5</v>
      </c>
      <c r="B111" s="1">
        <v>94</v>
      </c>
      <c r="C111" s="1">
        <v>2313</v>
      </c>
      <c r="D111" t="s">
        <v>112</v>
      </c>
      <c r="E111">
        <v>3422.9</v>
      </c>
      <c r="F111">
        <v>529</v>
      </c>
      <c r="G111">
        <v>7988</v>
      </c>
      <c r="H111" s="38">
        <v>27342125</v>
      </c>
      <c r="I111" s="38">
        <v>495098</v>
      </c>
      <c r="J111">
        <v>843.43</v>
      </c>
      <c r="K111">
        <v>0</v>
      </c>
      <c r="L111">
        <v>80.709999999999994</v>
      </c>
      <c r="M111">
        <v>0</v>
      </c>
      <c r="N111">
        <v>91.01</v>
      </c>
      <c r="O111">
        <v>0</v>
      </c>
      <c r="P111">
        <v>385.29</v>
      </c>
      <c r="Q111">
        <v>0</v>
      </c>
      <c r="R111" s="56">
        <v>65.34</v>
      </c>
      <c r="S111" s="56">
        <v>73.16</v>
      </c>
      <c r="T111">
        <v>1175256551</v>
      </c>
      <c r="U111">
        <v>1298290842</v>
      </c>
      <c r="V111">
        <v>3331.3</v>
      </c>
      <c r="W111">
        <v>717</v>
      </c>
    </row>
    <row r="112" spans="1:23" x14ac:dyDescent="0.55000000000000004">
      <c r="A112" s="1">
        <v>15</v>
      </c>
      <c r="B112" s="1">
        <v>56</v>
      </c>
      <c r="C112" s="1">
        <v>2322</v>
      </c>
      <c r="D112" t="s">
        <v>113</v>
      </c>
      <c r="E112">
        <v>2080.5</v>
      </c>
      <c r="F112">
        <v>226</v>
      </c>
      <c r="G112">
        <v>7988</v>
      </c>
      <c r="H112" s="38">
        <v>16619034</v>
      </c>
      <c r="I112" s="38">
        <v>0</v>
      </c>
      <c r="J112">
        <v>750.64</v>
      </c>
      <c r="K112">
        <v>0</v>
      </c>
      <c r="L112">
        <v>73.89</v>
      </c>
      <c r="M112">
        <v>0</v>
      </c>
      <c r="N112">
        <v>82.1</v>
      </c>
      <c r="O112">
        <v>0</v>
      </c>
      <c r="P112">
        <v>385.29</v>
      </c>
      <c r="Q112">
        <v>0</v>
      </c>
      <c r="R112" s="56">
        <v>64.959999999999994</v>
      </c>
      <c r="S112" s="56">
        <v>71.430000000000007</v>
      </c>
      <c r="T112">
        <v>869022653</v>
      </c>
      <c r="U112">
        <v>871335156</v>
      </c>
      <c r="V112">
        <v>2038.6</v>
      </c>
      <c r="W112">
        <v>322</v>
      </c>
    </row>
    <row r="113" spans="1:23" x14ac:dyDescent="0.55000000000000004">
      <c r="A113" s="1">
        <v>13</v>
      </c>
      <c r="B113" s="1">
        <v>36</v>
      </c>
      <c r="C113" s="1">
        <v>2369</v>
      </c>
      <c r="D113" t="s">
        <v>114</v>
      </c>
      <c r="E113">
        <v>440</v>
      </c>
      <c r="F113">
        <v>3</v>
      </c>
      <c r="G113">
        <v>7988</v>
      </c>
      <c r="H113" s="38">
        <v>3514720</v>
      </c>
      <c r="I113" s="38">
        <v>3467</v>
      </c>
      <c r="J113">
        <v>1154.3599999999999</v>
      </c>
      <c r="K113">
        <v>0</v>
      </c>
      <c r="L113">
        <v>68.3</v>
      </c>
      <c r="M113">
        <v>0</v>
      </c>
      <c r="N113">
        <v>87.7</v>
      </c>
      <c r="O113">
        <v>0</v>
      </c>
      <c r="P113">
        <v>385.29</v>
      </c>
      <c r="Q113">
        <v>0</v>
      </c>
      <c r="R113" s="56">
        <v>64.989999999999995</v>
      </c>
      <c r="S113" s="56">
        <v>71.86</v>
      </c>
      <c r="T113">
        <v>242841220</v>
      </c>
      <c r="U113">
        <v>242841220</v>
      </c>
      <c r="V113">
        <v>437</v>
      </c>
      <c r="W113">
        <v>4</v>
      </c>
    </row>
    <row r="114" spans="1:23" x14ac:dyDescent="0.55000000000000004">
      <c r="A114" s="1">
        <v>7</v>
      </c>
      <c r="B114" s="1">
        <v>64</v>
      </c>
      <c r="C114" s="1">
        <v>2682</v>
      </c>
      <c r="D114" t="s">
        <v>115</v>
      </c>
      <c r="E114">
        <v>249.3</v>
      </c>
      <c r="F114">
        <v>2</v>
      </c>
      <c r="G114">
        <v>7988</v>
      </c>
      <c r="H114" s="38">
        <v>1991408</v>
      </c>
      <c r="I114" s="38">
        <v>0</v>
      </c>
      <c r="J114">
        <v>2579.62</v>
      </c>
      <c r="K114">
        <v>0</v>
      </c>
      <c r="L114">
        <v>92.02</v>
      </c>
      <c r="M114">
        <v>0</v>
      </c>
      <c r="N114">
        <v>93.4</v>
      </c>
      <c r="O114">
        <v>0</v>
      </c>
      <c r="P114">
        <v>385.29</v>
      </c>
      <c r="Q114">
        <v>0</v>
      </c>
      <c r="R114" s="56">
        <v>65.290000000000006</v>
      </c>
      <c r="S114" s="56">
        <v>72.78</v>
      </c>
      <c r="T114">
        <v>207904653</v>
      </c>
      <c r="U114">
        <v>210780814</v>
      </c>
      <c r="V114">
        <v>230.1</v>
      </c>
      <c r="W114">
        <v>2</v>
      </c>
    </row>
    <row r="115" spans="1:23" x14ac:dyDescent="0.55000000000000004">
      <c r="A115" s="1">
        <v>12</v>
      </c>
      <c r="B115" s="1">
        <v>47</v>
      </c>
      <c r="C115" s="1">
        <v>2376</v>
      </c>
      <c r="D115" t="s">
        <v>116</v>
      </c>
      <c r="E115">
        <v>470.4</v>
      </c>
      <c r="F115">
        <v>0</v>
      </c>
      <c r="G115">
        <v>7988</v>
      </c>
      <c r="H115" s="38">
        <v>3757555</v>
      </c>
      <c r="I115" s="38">
        <v>0</v>
      </c>
      <c r="J115">
        <v>1179.0899999999999</v>
      </c>
      <c r="K115">
        <v>0</v>
      </c>
      <c r="L115">
        <v>77.09</v>
      </c>
      <c r="M115">
        <v>0</v>
      </c>
      <c r="N115">
        <v>81.010000000000005</v>
      </c>
      <c r="O115">
        <v>0</v>
      </c>
      <c r="P115">
        <v>385.29</v>
      </c>
      <c r="Q115">
        <v>0</v>
      </c>
      <c r="R115" s="56">
        <v>65.27</v>
      </c>
      <c r="S115" s="56">
        <v>73.06</v>
      </c>
      <c r="T115">
        <v>323487693</v>
      </c>
      <c r="U115">
        <v>366914601</v>
      </c>
      <c r="V115">
        <v>452.7</v>
      </c>
      <c r="W115">
        <v>2</v>
      </c>
    </row>
    <row r="116" spans="1:23" x14ac:dyDescent="0.55000000000000004">
      <c r="A116" s="1">
        <v>7</v>
      </c>
      <c r="B116" s="1">
        <v>41</v>
      </c>
      <c r="C116" s="1">
        <v>2403</v>
      </c>
      <c r="D116" t="s">
        <v>117</v>
      </c>
      <c r="E116">
        <v>824.3</v>
      </c>
      <c r="F116">
        <v>34</v>
      </c>
      <c r="G116">
        <v>7988</v>
      </c>
      <c r="H116" s="38">
        <v>6584508</v>
      </c>
      <c r="I116" s="38">
        <v>95383</v>
      </c>
      <c r="J116">
        <v>1125.68</v>
      </c>
      <c r="K116">
        <v>0</v>
      </c>
      <c r="L116">
        <v>80.16</v>
      </c>
      <c r="M116">
        <v>0</v>
      </c>
      <c r="N116">
        <v>83.71</v>
      </c>
      <c r="O116">
        <v>0</v>
      </c>
      <c r="P116">
        <v>385.29</v>
      </c>
      <c r="Q116">
        <v>0</v>
      </c>
      <c r="R116" s="56">
        <v>65.290000000000006</v>
      </c>
      <c r="S116" s="56">
        <v>72.78</v>
      </c>
      <c r="T116">
        <v>698938628</v>
      </c>
      <c r="U116">
        <v>731521671</v>
      </c>
      <c r="V116">
        <v>825.4</v>
      </c>
      <c r="W116">
        <v>56</v>
      </c>
    </row>
    <row r="117" spans="1:23" x14ac:dyDescent="0.55000000000000004">
      <c r="A117" s="1">
        <v>12</v>
      </c>
      <c r="B117" s="1">
        <v>60</v>
      </c>
      <c r="C117" s="1">
        <v>2457</v>
      </c>
      <c r="D117" t="s">
        <v>118</v>
      </c>
      <c r="E117">
        <v>413.2</v>
      </c>
      <c r="F117">
        <v>14</v>
      </c>
      <c r="G117">
        <v>7988</v>
      </c>
      <c r="H117" s="38">
        <v>3300642</v>
      </c>
      <c r="I117" s="38">
        <v>287892</v>
      </c>
      <c r="J117">
        <v>1338.68</v>
      </c>
      <c r="K117">
        <v>0</v>
      </c>
      <c r="L117">
        <v>79.040000000000006</v>
      </c>
      <c r="M117">
        <v>2436</v>
      </c>
      <c r="N117">
        <v>81.33</v>
      </c>
      <c r="O117">
        <v>2462</v>
      </c>
      <c r="P117">
        <v>385.29</v>
      </c>
      <c r="Q117">
        <v>11809</v>
      </c>
      <c r="R117" s="56">
        <v>65.27</v>
      </c>
      <c r="S117" s="56">
        <v>73.06</v>
      </c>
      <c r="T117">
        <v>307167054</v>
      </c>
      <c r="U117">
        <v>314615490</v>
      </c>
      <c r="V117">
        <v>405.2</v>
      </c>
      <c r="W117">
        <v>16</v>
      </c>
    </row>
    <row r="118" spans="1:23" x14ac:dyDescent="0.55000000000000004">
      <c r="A118" s="1">
        <v>11</v>
      </c>
      <c r="B118" s="1">
        <v>85</v>
      </c>
      <c r="C118" s="1">
        <v>2466</v>
      </c>
      <c r="D118" t="s">
        <v>119</v>
      </c>
      <c r="E118">
        <v>1590.5</v>
      </c>
      <c r="F118">
        <v>25</v>
      </c>
      <c r="G118">
        <v>7988</v>
      </c>
      <c r="H118" s="38">
        <v>12704914</v>
      </c>
      <c r="I118" s="38">
        <v>1975</v>
      </c>
      <c r="J118">
        <v>755.69</v>
      </c>
      <c r="K118">
        <v>0</v>
      </c>
      <c r="L118">
        <v>72.709999999999994</v>
      </c>
      <c r="M118">
        <v>0</v>
      </c>
      <c r="N118">
        <v>65.88</v>
      </c>
      <c r="O118">
        <v>0</v>
      </c>
      <c r="P118">
        <v>385.29</v>
      </c>
      <c r="Q118">
        <v>0</v>
      </c>
      <c r="R118" s="56">
        <v>64.86</v>
      </c>
      <c r="S118" s="56">
        <v>71.28</v>
      </c>
      <c r="T118">
        <v>761486529</v>
      </c>
      <c r="U118">
        <v>768033031</v>
      </c>
      <c r="V118">
        <v>1593</v>
      </c>
      <c r="W118">
        <v>40</v>
      </c>
    </row>
    <row r="119" spans="1:23" x14ac:dyDescent="0.55000000000000004">
      <c r="A119" s="1">
        <v>5</v>
      </c>
      <c r="B119" s="1">
        <v>46</v>
      </c>
      <c r="C119" s="1">
        <v>2493</v>
      </c>
      <c r="D119" t="s">
        <v>120</v>
      </c>
      <c r="E119">
        <v>158.1</v>
      </c>
      <c r="F119">
        <v>3</v>
      </c>
      <c r="G119">
        <v>8115</v>
      </c>
      <c r="H119" s="38">
        <v>1282982</v>
      </c>
      <c r="I119" s="38">
        <v>0</v>
      </c>
      <c r="J119">
        <v>1271.4000000000001</v>
      </c>
      <c r="K119">
        <v>0</v>
      </c>
      <c r="L119">
        <v>89.11</v>
      </c>
      <c r="M119">
        <v>44</v>
      </c>
      <c r="N119">
        <v>65.819999999999993</v>
      </c>
      <c r="O119">
        <v>0</v>
      </c>
      <c r="P119">
        <v>385.29</v>
      </c>
      <c r="Q119">
        <v>30</v>
      </c>
      <c r="R119" s="56">
        <v>65.34</v>
      </c>
      <c r="S119" s="56">
        <v>73.16</v>
      </c>
      <c r="T119">
        <v>137759281</v>
      </c>
      <c r="U119">
        <v>137942261</v>
      </c>
      <c r="V119">
        <v>164</v>
      </c>
      <c r="W119">
        <v>3</v>
      </c>
    </row>
    <row r="120" spans="1:23" x14ac:dyDescent="0.55000000000000004">
      <c r="A120" s="1">
        <v>7</v>
      </c>
      <c r="B120" s="1">
        <v>86</v>
      </c>
      <c r="C120" s="1">
        <v>2502</v>
      </c>
      <c r="D120" t="s">
        <v>121</v>
      </c>
      <c r="E120">
        <v>615.5</v>
      </c>
      <c r="F120">
        <v>4</v>
      </c>
      <c r="G120">
        <v>8048</v>
      </c>
      <c r="H120" s="38">
        <v>4953544</v>
      </c>
      <c r="I120" s="38">
        <v>0</v>
      </c>
      <c r="J120">
        <v>1192.23</v>
      </c>
      <c r="K120">
        <v>0</v>
      </c>
      <c r="L120">
        <v>76.709999999999994</v>
      </c>
      <c r="M120">
        <v>0</v>
      </c>
      <c r="N120">
        <v>68.27</v>
      </c>
      <c r="O120">
        <v>0</v>
      </c>
      <c r="P120">
        <v>385.29</v>
      </c>
      <c r="Q120">
        <v>0</v>
      </c>
      <c r="R120" s="56">
        <v>65.290000000000006</v>
      </c>
      <c r="S120" s="56">
        <v>72.78</v>
      </c>
      <c r="T120">
        <v>381633472</v>
      </c>
      <c r="U120">
        <v>399362492</v>
      </c>
      <c r="V120">
        <v>657.9</v>
      </c>
      <c r="W120">
        <v>5</v>
      </c>
    </row>
    <row r="121" spans="1:23" x14ac:dyDescent="0.55000000000000004">
      <c r="A121" s="1">
        <v>13</v>
      </c>
      <c r="B121" s="1">
        <v>65</v>
      </c>
      <c r="C121" s="1">
        <v>2511</v>
      </c>
      <c r="D121" t="s">
        <v>122</v>
      </c>
      <c r="E121">
        <v>1864.1</v>
      </c>
      <c r="F121">
        <v>23</v>
      </c>
      <c r="G121">
        <v>7988</v>
      </c>
      <c r="H121" s="38">
        <v>14890431</v>
      </c>
      <c r="I121" s="38">
        <v>352934</v>
      </c>
      <c r="J121">
        <v>821.99</v>
      </c>
      <c r="K121">
        <v>0</v>
      </c>
      <c r="L121">
        <v>71.959999999999994</v>
      </c>
      <c r="M121">
        <v>893</v>
      </c>
      <c r="N121">
        <v>81.67</v>
      </c>
      <c r="O121">
        <v>1140</v>
      </c>
      <c r="P121">
        <v>385.29</v>
      </c>
      <c r="Q121">
        <v>5923</v>
      </c>
      <c r="R121" s="56">
        <v>64.989999999999995</v>
      </c>
      <c r="S121" s="56">
        <v>71.86</v>
      </c>
      <c r="T121">
        <v>823485547</v>
      </c>
      <c r="U121">
        <v>865876670</v>
      </c>
      <c r="V121">
        <v>1906</v>
      </c>
      <c r="W121">
        <v>28</v>
      </c>
    </row>
    <row r="122" spans="1:23" x14ac:dyDescent="0.55000000000000004">
      <c r="A122" s="1">
        <v>11</v>
      </c>
      <c r="B122" s="1">
        <v>14</v>
      </c>
      <c r="C122" s="1">
        <v>2520</v>
      </c>
      <c r="D122" t="s">
        <v>123</v>
      </c>
      <c r="E122">
        <v>313.3</v>
      </c>
      <c r="F122">
        <v>17</v>
      </c>
      <c r="G122">
        <v>7988</v>
      </c>
      <c r="H122" s="38">
        <v>2502640</v>
      </c>
      <c r="I122" s="38">
        <v>0</v>
      </c>
      <c r="J122">
        <v>1358.57</v>
      </c>
      <c r="K122">
        <v>0</v>
      </c>
      <c r="L122">
        <v>78.72</v>
      </c>
      <c r="M122">
        <v>0</v>
      </c>
      <c r="N122">
        <v>81.3</v>
      </c>
      <c r="O122">
        <v>0</v>
      </c>
      <c r="P122">
        <v>385.29</v>
      </c>
      <c r="Q122">
        <v>0</v>
      </c>
      <c r="R122" s="56">
        <v>64.86</v>
      </c>
      <c r="S122" s="56">
        <v>71.28</v>
      </c>
      <c r="T122">
        <v>209125483</v>
      </c>
      <c r="U122">
        <v>215679450</v>
      </c>
      <c r="V122">
        <v>302.3</v>
      </c>
      <c r="W122">
        <v>32</v>
      </c>
    </row>
    <row r="123" spans="1:23" x14ac:dyDescent="0.55000000000000004">
      <c r="A123" s="1">
        <v>5</v>
      </c>
      <c r="B123" s="1">
        <v>74</v>
      </c>
      <c r="C123" s="1">
        <v>2556</v>
      </c>
      <c r="D123" t="s">
        <v>124</v>
      </c>
      <c r="E123">
        <v>376.3</v>
      </c>
      <c r="F123">
        <v>6</v>
      </c>
      <c r="G123">
        <v>7988</v>
      </c>
      <c r="H123" s="38">
        <v>3005884</v>
      </c>
      <c r="I123" s="38">
        <v>0</v>
      </c>
      <c r="J123">
        <v>1272.3900000000001</v>
      </c>
      <c r="K123">
        <v>0</v>
      </c>
      <c r="L123">
        <v>70.11</v>
      </c>
      <c r="M123">
        <v>0</v>
      </c>
      <c r="N123">
        <v>84.29</v>
      </c>
      <c r="O123">
        <v>0</v>
      </c>
      <c r="P123">
        <v>385.29</v>
      </c>
      <c r="Q123">
        <v>0</v>
      </c>
      <c r="R123" s="56">
        <v>65.34</v>
      </c>
      <c r="S123" s="56">
        <v>73.16</v>
      </c>
      <c r="T123">
        <v>303436002</v>
      </c>
      <c r="U123">
        <v>311433866</v>
      </c>
      <c r="V123">
        <v>376.5</v>
      </c>
      <c r="W123">
        <v>7</v>
      </c>
    </row>
    <row r="124" spans="1:23" x14ac:dyDescent="0.55000000000000004">
      <c r="A124" s="1">
        <v>5</v>
      </c>
      <c r="B124" s="1">
        <v>37</v>
      </c>
      <c r="C124" s="1">
        <v>3195</v>
      </c>
      <c r="D124" t="s">
        <v>125</v>
      </c>
      <c r="E124">
        <v>1199.2</v>
      </c>
      <c r="F124">
        <v>7</v>
      </c>
      <c r="G124">
        <v>8022</v>
      </c>
      <c r="H124" s="38">
        <v>9619982</v>
      </c>
      <c r="I124" s="38">
        <v>0</v>
      </c>
      <c r="J124">
        <v>895.22</v>
      </c>
      <c r="K124">
        <v>0</v>
      </c>
      <c r="L124">
        <v>78.92</v>
      </c>
      <c r="M124">
        <v>0</v>
      </c>
      <c r="N124">
        <v>85.54</v>
      </c>
      <c r="O124">
        <v>0</v>
      </c>
      <c r="P124">
        <v>385.29</v>
      </c>
      <c r="Q124">
        <v>0</v>
      </c>
      <c r="R124" s="56">
        <v>65.34</v>
      </c>
      <c r="S124" s="56">
        <v>73.16</v>
      </c>
      <c r="T124">
        <v>704478575</v>
      </c>
      <c r="U124">
        <v>813647883</v>
      </c>
      <c r="V124">
        <v>1173.2</v>
      </c>
      <c r="W124">
        <v>5</v>
      </c>
    </row>
    <row r="125" spans="1:23" x14ac:dyDescent="0.55000000000000004">
      <c r="A125" s="1">
        <v>7</v>
      </c>
      <c r="B125" s="1">
        <v>79</v>
      </c>
      <c r="C125" s="1">
        <v>2709</v>
      </c>
      <c r="D125" t="s">
        <v>126</v>
      </c>
      <c r="E125">
        <v>1502.2</v>
      </c>
      <c r="F125">
        <v>52</v>
      </c>
      <c r="G125">
        <v>7988</v>
      </c>
      <c r="H125" s="38">
        <v>11999574</v>
      </c>
      <c r="I125" s="38">
        <v>0</v>
      </c>
      <c r="J125">
        <v>906.25</v>
      </c>
      <c r="K125">
        <v>0</v>
      </c>
      <c r="L125">
        <v>74.27</v>
      </c>
      <c r="M125">
        <v>0</v>
      </c>
      <c r="N125">
        <v>82.36</v>
      </c>
      <c r="O125">
        <v>0</v>
      </c>
      <c r="P125">
        <v>385.29</v>
      </c>
      <c r="Q125">
        <v>0</v>
      </c>
      <c r="R125" s="56">
        <v>65.290000000000006</v>
      </c>
      <c r="S125" s="56">
        <v>72.78</v>
      </c>
      <c r="T125">
        <v>661733141</v>
      </c>
      <c r="U125">
        <v>821420255</v>
      </c>
      <c r="V125">
        <v>1467.7</v>
      </c>
      <c r="W125">
        <v>62</v>
      </c>
    </row>
    <row r="126" spans="1:23" x14ac:dyDescent="0.55000000000000004">
      <c r="A126" s="1">
        <v>13</v>
      </c>
      <c r="B126" s="1">
        <v>15</v>
      </c>
      <c r="C126" s="1">
        <v>2718</v>
      </c>
      <c r="D126" t="s">
        <v>127</v>
      </c>
      <c r="E126">
        <v>443.1</v>
      </c>
      <c r="F126">
        <v>0</v>
      </c>
      <c r="G126">
        <v>8013</v>
      </c>
      <c r="H126" s="38">
        <v>3550560</v>
      </c>
      <c r="I126" s="38">
        <v>96957</v>
      </c>
      <c r="J126">
        <v>1385.73</v>
      </c>
      <c r="K126">
        <v>0</v>
      </c>
      <c r="L126">
        <v>71.010000000000005</v>
      </c>
      <c r="M126">
        <v>480</v>
      </c>
      <c r="N126">
        <v>72.64</v>
      </c>
      <c r="O126">
        <v>443</v>
      </c>
      <c r="P126">
        <v>385.29</v>
      </c>
      <c r="Q126">
        <v>2925</v>
      </c>
      <c r="R126" s="56">
        <v>64.989999999999995</v>
      </c>
      <c r="S126" s="56">
        <v>71.86</v>
      </c>
      <c r="T126">
        <v>344208977</v>
      </c>
      <c r="U126">
        <v>345430008</v>
      </c>
      <c r="V126">
        <v>415.6</v>
      </c>
      <c r="W126">
        <v>0</v>
      </c>
    </row>
    <row r="127" spans="1:23" x14ac:dyDescent="0.55000000000000004">
      <c r="A127" s="1">
        <v>7</v>
      </c>
      <c r="B127" s="1">
        <v>38</v>
      </c>
      <c r="C127" s="1">
        <v>2727</v>
      </c>
      <c r="D127" t="s">
        <v>128</v>
      </c>
      <c r="E127">
        <v>681</v>
      </c>
      <c r="F127">
        <v>5</v>
      </c>
      <c r="G127">
        <v>7988</v>
      </c>
      <c r="H127" s="38">
        <v>5439828</v>
      </c>
      <c r="I127" s="38">
        <v>0</v>
      </c>
      <c r="J127">
        <v>1144.2</v>
      </c>
      <c r="K127">
        <v>0</v>
      </c>
      <c r="L127">
        <v>79.510000000000005</v>
      </c>
      <c r="M127">
        <v>0</v>
      </c>
      <c r="N127">
        <v>73.91</v>
      </c>
      <c r="O127">
        <v>0</v>
      </c>
      <c r="P127">
        <v>385.29</v>
      </c>
      <c r="Q127">
        <v>0</v>
      </c>
      <c r="R127" s="56">
        <v>65.290000000000006</v>
      </c>
      <c r="S127" s="56">
        <v>72.78</v>
      </c>
      <c r="T127">
        <v>302528306</v>
      </c>
      <c r="U127">
        <v>322129377</v>
      </c>
      <c r="V127">
        <v>661.1</v>
      </c>
      <c r="W127">
        <v>7</v>
      </c>
    </row>
    <row r="128" spans="1:23" x14ac:dyDescent="0.55000000000000004">
      <c r="A128" s="1">
        <v>11</v>
      </c>
      <c r="B128" s="1">
        <v>39</v>
      </c>
      <c r="C128" s="1">
        <v>2754</v>
      </c>
      <c r="D128" t="s">
        <v>129</v>
      </c>
      <c r="E128">
        <v>388.2</v>
      </c>
      <c r="F128">
        <v>0</v>
      </c>
      <c r="G128">
        <v>7988</v>
      </c>
      <c r="H128" s="38">
        <v>3100942</v>
      </c>
      <c r="I128" s="38">
        <v>24402</v>
      </c>
      <c r="J128">
        <v>1503.16</v>
      </c>
      <c r="K128">
        <v>0</v>
      </c>
      <c r="L128">
        <v>73.900000000000006</v>
      </c>
      <c r="M128">
        <v>0</v>
      </c>
      <c r="N128">
        <v>86.85</v>
      </c>
      <c r="O128">
        <v>0</v>
      </c>
      <c r="P128">
        <v>385.29</v>
      </c>
      <c r="Q128">
        <v>0</v>
      </c>
      <c r="R128" s="56">
        <v>64.86</v>
      </c>
      <c r="S128" s="56">
        <v>71.28</v>
      </c>
      <c r="T128">
        <v>232408724</v>
      </c>
      <c r="U128">
        <v>233623087</v>
      </c>
      <c r="V128">
        <v>384.9</v>
      </c>
      <c r="W128">
        <v>0</v>
      </c>
    </row>
    <row r="129" spans="1:23" x14ac:dyDescent="0.55000000000000004">
      <c r="A129" s="1">
        <v>10</v>
      </c>
      <c r="B129" s="1">
        <v>48</v>
      </c>
      <c r="C129" s="1">
        <v>2766</v>
      </c>
      <c r="D129" t="s">
        <v>130</v>
      </c>
      <c r="E129">
        <v>308</v>
      </c>
      <c r="F129">
        <v>1</v>
      </c>
      <c r="G129">
        <v>8048</v>
      </c>
      <c r="H129" s="38">
        <v>2478784</v>
      </c>
      <c r="I129" s="38">
        <v>38114</v>
      </c>
      <c r="J129">
        <v>1393.76</v>
      </c>
      <c r="K129">
        <v>0</v>
      </c>
      <c r="L129">
        <v>74.28</v>
      </c>
      <c r="M129">
        <v>97</v>
      </c>
      <c r="N129">
        <v>76.319999999999993</v>
      </c>
      <c r="O129">
        <v>69</v>
      </c>
      <c r="P129">
        <v>385.29</v>
      </c>
      <c r="Q129">
        <v>613</v>
      </c>
      <c r="R129" s="56">
        <v>64.98</v>
      </c>
      <c r="S129" s="56">
        <v>71.459999999999994</v>
      </c>
      <c r="T129">
        <v>191222060</v>
      </c>
      <c r="U129">
        <v>217335860</v>
      </c>
      <c r="V129">
        <v>308</v>
      </c>
      <c r="W129">
        <v>4</v>
      </c>
    </row>
    <row r="130" spans="1:23" x14ac:dyDescent="0.55000000000000004">
      <c r="A130" s="1">
        <v>13</v>
      </c>
      <c r="B130" s="1">
        <v>36</v>
      </c>
      <c r="C130" s="1">
        <v>2772</v>
      </c>
      <c r="D130" t="s">
        <v>131</v>
      </c>
      <c r="E130">
        <v>203</v>
      </c>
      <c r="F130">
        <v>0</v>
      </c>
      <c r="G130">
        <v>8089</v>
      </c>
      <c r="H130" s="38">
        <v>1642067</v>
      </c>
      <c r="I130" s="38">
        <v>24288</v>
      </c>
      <c r="J130">
        <v>1527.07</v>
      </c>
      <c r="K130">
        <v>0</v>
      </c>
      <c r="L130">
        <v>73.11</v>
      </c>
      <c r="M130">
        <v>50</v>
      </c>
      <c r="N130">
        <v>82.16</v>
      </c>
      <c r="O130">
        <v>66</v>
      </c>
      <c r="P130">
        <v>385.29</v>
      </c>
      <c r="Q130">
        <v>356</v>
      </c>
      <c r="R130" s="56">
        <v>64.989999999999995</v>
      </c>
      <c r="S130" s="56">
        <v>71.86</v>
      </c>
      <c r="T130">
        <v>172384488</v>
      </c>
      <c r="U130">
        <v>173024571</v>
      </c>
      <c r="V130">
        <v>215</v>
      </c>
      <c r="W130">
        <v>0</v>
      </c>
    </row>
    <row r="131" spans="1:23" x14ac:dyDescent="0.55000000000000004">
      <c r="A131" s="1">
        <v>7</v>
      </c>
      <c r="B131" s="1">
        <v>35</v>
      </c>
      <c r="C131" s="1">
        <v>2781</v>
      </c>
      <c r="D131" t="s">
        <v>132</v>
      </c>
      <c r="E131">
        <v>1087.8</v>
      </c>
      <c r="F131">
        <v>14</v>
      </c>
      <c r="G131">
        <v>7988</v>
      </c>
      <c r="H131" s="38">
        <v>8689346</v>
      </c>
      <c r="I131" s="38">
        <v>0</v>
      </c>
      <c r="J131">
        <v>876.4</v>
      </c>
      <c r="K131">
        <v>0</v>
      </c>
      <c r="L131">
        <v>77.33</v>
      </c>
      <c r="M131">
        <v>0</v>
      </c>
      <c r="N131">
        <v>90.86</v>
      </c>
      <c r="O131">
        <v>0</v>
      </c>
      <c r="P131">
        <v>385.29</v>
      </c>
      <c r="Q131">
        <v>0</v>
      </c>
      <c r="R131" s="56">
        <v>65.290000000000006</v>
      </c>
      <c r="S131" s="56">
        <v>72.78</v>
      </c>
      <c r="T131">
        <v>474328468</v>
      </c>
      <c r="U131">
        <v>476309866</v>
      </c>
      <c r="V131">
        <v>1044.5</v>
      </c>
      <c r="W131">
        <v>20</v>
      </c>
    </row>
    <row r="132" spans="1:23" x14ac:dyDescent="0.55000000000000004">
      <c r="A132" s="1">
        <v>13</v>
      </c>
      <c r="B132" s="1">
        <v>83</v>
      </c>
      <c r="C132" s="1">
        <v>2826</v>
      </c>
      <c r="D132" t="s">
        <v>133</v>
      </c>
      <c r="E132">
        <v>1346.7</v>
      </c>
      <c r="F132">
        <v>60</v>
      </c>
      <c r="G132">
        <v>7988</v>
      </c>
      <c r="H132" s="38">
        <v>10757440</v>
      </c>
      <c r="I132" s="38">
        <v>32441</v>
      </c>
      <c r="J132">
        <v>827.54</v>
      </c>
      <c r="K132">
        <v>0</v>
      </c>
      <c r="L132">
        <v>79.959999999999994</v>
      </c>
      <c r="M132">
        <v>0</v>
      </c>
      <c r="N132">
        <v>80.37</v>
      </c>
      <c r="O132">
        <v>0</v>
      </c>
      <c r="P132">
        <v>385.29</v>
      </c>
      <c r="Q132">
        <v>0</v>
      </c>
      <c r="R132" s="56">
        <v>64.989999999999995</v>
      </c>
      <c r="S132" s="56">
        <v>71.86</v>
      </c>
      <c r="T132">
        <v>672716792</v>
      </c>
      <c r="U132">
        <v>693273459</v>
      </c>
      <c r="V132">
        <v>1292.0999999999999</v>
      </c>
      <c r="W132">
        <v>85</v>
      </c>
    </row>
    <row r="133" spans="1:23" x14ac:dyDescent="0.55000000000000004">
      <c r="A133" s="1">
        <v>5</v>
      </c>
      <c r="B133" s="1">
        <v>30</v>
      </c>
      <c r="C133" s="1">
        <v>2846</v>
      </c>
      <c r="D133" t="s">
        <v>134</v>
      </c>
      <c r="E133">
        <v>299</v>
      </c>
      <c r="F133">
        <v>0</v>
      </c>
      <c r="G133">
        <v>8019</v>
      </c>
      <c r="H133" s="38">
        <v>2397681</v>
      </c>
      <c r="I133" s="38">
        <v>0</v>
      </c>
      <c r="J133">
        <v>1693.63</v>
      </c>
      <c r="K133">
        <v>0</v>
      </c>
      <c r="L133">
        <v>75.150000000000006</v>
      </c>
      <c r="M133">
        <v>0</v>
      </c>
      <c r="N133">
        <v>95.05</v>
      </c>
      <c r="O133">
        <v>0</v>
      </c>
      <c r="P133">
        <v>385.29</v>
      </c>
      <c r="Q133">
        <v>0</v>
      </c>
      <c r="R133" s="56">
        <v>65.34</v>
      </c>
      <c r="S133" s="56">
        <v>73.16</v>
      </c>
      <c r="T133">
        <v>315773008</v>
      </c>
      <c r="U133">
        <v>317487594</v>
      </c>
      <c r="V133">
        <v>284</v>
      </c>
      <c r="W133">
        <v>0</v>
      </c>
    </row>
    <row r="134" spans="1:23" x14ac:dyDescent="0.55000000000000004">
      <c r="A134" s="1">
        <v>12</v>
      </c>
      <c r="B134" s="1">
        <v>71</v>
      </c>
      <c r="C134" s="1">
        <v>2862</v>
      </c>
      <c r="D134" t="s">
        <v>135</v>
      </c>
      <c r="E134">
        <v>633.1</v>
      </c>
      <c r="F134">
        <v>122</v>
      </c>
      <c r="G134">
        <v>7995</v>
      </c>
      <c r="H134" s="38">
        <v>5061635</v>
      </c>
      <c r="I134" s="38">
        <v>0</v>
      </c>
      <c r="J134">
        <v>1107.92</v>
      </c>
      <c r="K134">
        <v>0</v>
      </c>
      <c r="L134">
        <v>78.08</v>
      </c>
      <c r="M134">
        <v>0</v>
      </c>
      <c r="N134">
        <v>74.66</v>
      </c>
      <c r="O134">
        <v>0</v>
      </c>
      <c r="P134">
        <v>385.29</v>
      </c>
      <c r="Q134">
        <v>0</v>
      </c>
      <c r="R134" s="56">
        <v>65.27</v>
      </c>
      <c r="S134" s="56">
        <v>73.06</v>
      </c>
      <c r="T134">
        <v>583096565</v>
      </c>
      <c r="U134">
        <v>602588678</v>
      </c>
      <c r="V134">
        <v>606.1</v>
      </c>
      <c r="W134">
        <v>141</v>
      </c>
    </row>
    <row r="135" spans="1:23" x14ac:dyDescent="0.55000000000000004">
      <c r="A135" s="1">
        <v>10</v>
      </c>
      <c r="B135" s="1">
        <v>92</v>
      </c>
      <c r="C135" s="1">
        <v>2977</v>
      </c>
      <c r="D135" t="s">
        <v>136</v>
      </c>
      <c r="E135">
        <v>553.79999999999995</v>
      </c>
      <c r="F135">
        <v>12</v>
      </c>
      <c r="G135">
        <v>7988</v>
      </c>
      <c r="H135" s="38">
        <v>4423754</v>
      </c>
      <c r="I135" s="38">
        <v>233436</v>
      </c>
      <c r="J135">
        <v>1271.8399999999999</v>
      </c>
      <c r="K135">
        <v>0</v>
      </c>
      <c r="L135">
        <v>76.58</v>
      </c>
      <c r="M135">
        <v>1422</v>
      </c>
      <c r="N135">
        <v>85.13</v>
      </c>
      <c r="O135">
        <v>1598</v>
      </c>
      <c r="P135">
        <v>385.29</v>
      </c>
      <c r="Q135">
        <v>7212</v>
      </c>
      <c r="R135" s="56">
        <v>64.98</v>
      </c>
      <c r="S135" s="56">
        <v>71.459999999999994</v>
      </c>
      <c r="T135">
        <v>379847834</v>
      </c>
      <c r="U135">
        <v>381557615</v>
      </c>
      <c r="V135">
        <v>563.70000000000005</v>
      </c>
      <c r="W135">
        <v>22</v>
      </c>
    </row>
    <row r="136" spans="1:23" x14ac:dyDescent="0.55000000000000004">
      <c r="A136" s="1">
        <v>12</v>
      </c>
      <c r="B136" s="1">
        <v>75</v>
      </c>
      <c r="C136" s="1">
        <v>2988</v>
      </c>
      <c r="D136" t="s">
        <v>137</v>
      </c>
      <c r="E136">
        <v>572.29999999999995</v>
      </c>
      <c r="F136">
        <v>14</v>
      </c>
      <c r="G136">
        <v>7988</v>
      </c>
      <c r="H136" s="38">
        <v>4571532</v>
      </c>
      <c r="I136" s="38">
        <v>0</v>
      </c>
      <c r="J136">
        <v>968.64</v>
      </c>
      <c r="K136">
        <v>0</v>
      </c>
      <c r="L136">
        <v>79.569999999999993</v>
      </c>
      <c r="M136">
        <v>0</v>
      </c>
      <c r="N136">
        <v>85.82</v>
      </c>
      <c r="O136">
        <v>0</v>
      </c>
      <c r="P136">
        <v>385.29</v>
      </c>
      <c r="Q136">
        <v>0</v>
      </c>
      <c r="R136" s="56">
        <v>65.27</v>
      </c>
      <c r="S136" s="56">
        <v>73.06</v>
      </c>
      <c r="T136">
        <v>297455542</v>
      </c>
      <c r="U136">
        <v>317639785</v>
      </c>
      <c r="V136">
        <v>559.70000000000005</v>
      </c>
      <c r="W136">
        <v>18</v>
      </c>
    </row>
    <row r="137" spans="1:23" x14ac:dyDescent="0.55000000000000004">
      <c r="A137" s="1">
        <v>1</v>
      </c>
      <c r="B137" s="1">
        <v>45</v>
      </c>
      <c r="C137" s="1">
        <v>3029</v>
      </c>
      <c r="D137" t="s">
        <v>138</v>
      </c>
      <c r="E137">
        <v>1147</v>
      </c>
      <c r="F137">
        <v>94</v>
      </c>
      <c r="G137">
        <v>8071</v>
      </c>
      <c r="H137" s="38">
        <v>9257437</v>
      </c>
      <c r="I137" s="38">
        <v>0</v>
      </c>
      <c r="J137">
        <v>918.83</v>
      </c>
      <c r="K137">
        <v>0</v>
      </c>
      <c r="L137">
        <v>76.66</v>
      </c>
      <c r="M137">
        <v>0</v>
      </c>
      <c r="N137">
        <v>76.599999999999994</v>
      </c>
      <c r="O137">
        <v>0</v>
      </c>
      <c r="P137">
        <v>385.29</v>
      </c>
      <c r="Q137">
        <v>0</v>
      </c>
      <c r="R137" s="56">
        <v>65.260000000000005</v>
      </c>
      <c r="S137" s="56">
        <v>72.69</v>
      </c>
      <c r="T137">
        <v>671528655</v>
      </c>
      <c r="U137">
        <v>676677247</v>
      </c>
      <c r="V137">
        <v>1124.3</v>
      </c>
      <c r="W137">
        <v>141</v>
      </c>
    </row>
    <row r="138" spans="1:23" x14ac:dyDescent="0.55000000000000004">
      <c r="A138" s="1">
        <v>7</v>
      </c>
      <c r="B138" s="1">
        <v>42</v>
      </c>
      <c r="C138" s="1">
        <v>3033</v>
      </c>
      <c r="D138" t="s">
        <v>139</v>
      </c>
      <c r="E138">
        <v>408.3</v>
      </c>
      <c r="F138">
        <v>0</v>
      </c>
      <c r="G138">
        <v>8060</v>
      </c>
      <c r="H138" s="38">
        <v>3290898</v>
      </c>
      <c r="I138" s="38">
        <v>0</v>
      </c>
      <c r="J138">
        <v>1143.1400000000001</v>
      </c>
      <c r="K138">
        <v>0</v>
      </c>
      <c r="L138">
        <v>61</v>
      </c>
      <c r="M138">
        <v>0</v>
      </c>
      <c r="N138">
        <v>69.959999999999994</v>
      </c>
      <c r="O138">
        <v>0</v>
      </c>
      <c r="P138">
        <v>385.29</v>
      </c>
      <c r="Q138">
        <v>0</v>
      </c>
      <c r="R138" s="56">
        <v>65.290000000000006</v>
      </c>
      <c r="S138" s="56">
        <v>72.78</v>
      </c>
      <c r="T138">
        <v>341849022</v>
      </c>
      <c r="U138">
        <v>347862859</v>
      </c>
      <c r="V138">
        <v>388.4</v>
      </c>
      <c r="W138">
        <v>0</v>
      </c>
    </row>
    <row r="139" spans="1:23" x14ac:dyDescent="0.55000000000000004">
      <c r="A139" s="1">
        <v>7</v>
      </c>
      <c r="B139" s="1">
        <v>7</v>
      </c>
      <c r="C139" s="1">
        <v>3042</v>
      </c>
      <c r="D139" t="s">
        <v>140</v>
      </c>
      <c r="E139">
        <v>776.5</v>
      </c>
      <c r="F139">
        <v>9</v>
      </c>
      <c r="G139">
        <v>8123</v>
      </c>
      <c r="H139" s="38">
        <v>6307510</v>
      </c>
      <c r="I139" s="38">
        <v>0</v>
      </c>
      <c r="J139">
        <v>950.45</v>
      </c>
      <c r="K139">
        <v>0</v>
      </c>
      <c r="L139">
        <v>82.77</v>
      </c>
      <c r="M139">
        <v>0</v>
      </c>
      <c r="N139">
        <v>68.13</v>
      </c>
      <c r="O139">
        <v>0</v>
      </c>
      <c r="P139">
        <v>385.29</v>
      </c>
      <c r="Q139">
        <v>0</v>
      </c>
      <c r="R139" s="56">
        <v>65.290000000000006</v>
      </c>
      <c r="S139" s="56">
        <v>72.78</v>
      </c>
      <c r="T139">
        <v>230832704</v>
      </c>
      <c r="U139">
        <v>294952354</v>
      </c>
      <c r="V139">
        <v>767.9</v>
      </c>
      <c r="W139">
        <v>21</v>
      </c>
    </row>
    <row r="140" spans="1:23" x14ac:dyDescent="0.55000000000000004">
      <c r="A140" s="1">
        <v>5</v>
      </c>
      <c r="B140" s="1">
        <v>46</v>
      </c>
      <c r="C140" s="1">
        <v>3060</v>
      </c>
      <c r="D140" t="s">
        <v>141</v>
      </c>
      <c r="E140">
        <v>1199.2</v>
      </c>
      <c r="F140">
        <v>100</v>
      </c>
      <c r="G140">
        <v>7988</v>
      </c>
      <c r="H140" s="38">
        <v>9579210</v>
      </c>
      <c r="I140" s="38">
        <v>22094</v>
      </c>
      <c r="J140">
        <v>1001.76</v>
      </c>
      <c r="K140">
        <v>0</v>
      </c>
      <c r="L140">
        <v>76.97</v>
      </c>
      <c r="M140">
        <v>0</v>
      </c>
      <c r="N140">
        <v>85.23</v>
      </c>
      <c r="O140">
        <v>0</v>
      </c>
      <c r="P140">
        <v>385.29</v>
      </c>
      <c r="Q140">
        <v>0</v>
      </c>
      <c r="R140" s="56">
        <v>65.34</v>
      </c>
      <c r="S140" s="56">
        <v>73.16</v>
      </c>
      <c r="T140">
        <v>608273341</v>
      </c>
      <c r="U140">
        <v>640250552</v>
      </c>
      <c r="V140">
        <v>1166</v>
      </c>
      <c r="W140">
        <v>136</v>
      </c>
    </row>
    <row r="141" spans="1:23" x14ac:dyDescent="0.55000000000000004">
      <c r="A141" s="1">
        <v>13</v>
      </c>
      <c r="B141" s="1">
        <v>83</v>
      </c>
      <c r="C141" s="1">
        <v>3168</v>
      </c>
      <c r="D141" t="s">
        <v>142</v>
      </c>
      <c r="E141">
        <v>674.7</v>
      </c>
      <c r="F141">
        <v>18</v>
      </c>
      <c r="G141">
        <v>8049</v>
      </c>
      <c r="H141" s="38">
        <v>5430660</v>
      </c>
      <c r="I141" s="38">
        <v>0</v>
      </c>
      <c r="J141">
        <v>985.09</v>
      </c>
      <c r="K141">
        <v>0</v>
      </c>
      <c r="L141">
        <v>84.14</v>
      </c>
      <c r="M141">
        <v>0</v>
      </c>
      <c r="N141">
        <v>78.03</v>
      </c>
      <c r="O141">
        <v>0</v>
      </c>
      <c r="P141">
        <v>385.29</v>
      </c>
      <c r="Q141">
        <v>0</v>
      </c>
      <c r="R141" s="56">
        <v>64.989999999999995</v>
      </c>
      <c r="S141" s="56">
        <v>71.86</v>
      </c>
      <c r="T141">
        <v>510580931</v>
      </c>
      <c r="U141">
        <v>525889845</v>
      </c>
      <c r="V141">
        <v>711.5</v>
      </c>
      <c r="W141">
        <v>30</v>
      </c>
    </row>
    <row r="142" spans="1:23" x14ac:dyDescent="0.55000000000000004">
      <c r="A142" s="1">
        <v>7</v>
      </c>
      <c r="B142" s="1">
        <v>10</v>
      </c>
      <c r="C142" s="1">
        <v>3105</v>
      </c>
      <c r="D142" t="s">
        <v>143</v>
      </c>
      <c r="E142">
        <v>1354.8</v>
      </c>
      <c r="F142">
        <v>113</v>
      </c>
      <c r="G142">
        <v>7988</v>
      </c>
      <c r="H142" s="38">
        <v>10822142</v>
      </c>
      <c r="I142" s="38">
        <v>67557</v>
      </c>
      <c r="J142">
        <v>863.69</v>
      </c>
      <c r="K142">
        <v>0</v>
      </c>
      <c r="L142">
        <v>83.25</v>
      </c>
      <c r="M142">
        <v>0</v>
      </c>
      <c r="N142">
        <v>80.47</v>
      </c>
      <c r="O142">
        <v>0</v>
      </c>
      <c r="P142">
        <v>385.29</v>
      </c>
      <c r="Q142">
        <v>0</v>
      </c>
      <c r="R142" s="56">
        <v>65.290000000000006</v>
      </c>
      <c r="S142" s="56">
        <v>72.78</v>
      </c>
      <c r="T142">
        <v>539956712</v>
      </c>
      <c r="U142">
        <v>571094924</v>
      </c>
      <c r="V142">
        <v>1335.3</v>
      </c>
      <c r="W142">
        <v>133</v>
      </c>
    </row>
    <row r="143" spans="1:23" x14ac:dyDescent="0.55000000000000004">
      <c r="A143" s="1">
        <v>11</v>
      </c>
      <c r="B143" s="1">
        <v>91</v>
      </c>
      <c r="C143" s="1">
        <v>3114</v>
      </c>
      <c r="D143" t="s">
        <v>144</v>
      </c>
      <c r="E143">
        <v>3430.2</v>
      </c>
      <c r="F143">
        <v>139</v>
      </c>
      <c r="G143">
        <v>7988</v>
      </c>
      <c r="H143" s="38">
        <v>27400438</v>
      </c>
      <c r="I143" s="38">
        <v>0</v>
      </c>
      <c r="J143">
        <v>747.63</v>
      </c>
      <c r="K143">
        <v>0</v>
      </c>
      <c r="L143">
        <v>75.64</v>
      </c>
      <c r="M143">
        <v>0</v>
      </c>
      <c r="N143">
        <v>74.03</v>
      </c>
      <c r="O143">
        <v>0</v>
      </c>
      <c r="P143">
        <v>385.29</v>
      </c>
      <c r="Q143">
        <v>0</v>
      </c>
      <c r="R143" s="56">
        <v>64.86</v>
      </c>
      <c r="S143" s="56">
        <v>71.28</v>
      </c>
      <c r="T143">
        <v>1150494495</v>
      </c>
      <c r="U143">
        <v>1199778371</v>
      </c>
      <c r="V143">
        <v>3337.8</v>
      </c>
      <c r="W143">
        <v>161</v>
      </c>
    </row>
    <row r="144" spans="1:23" x14ac:dyDescent="0.55000000000000004">
      <c r="A144" s="1">
        <v>11</v>
      </c>
      <c r="B144" s="1">
        <v>61</v>
      </c>
      <c r="C144" s="1">
        <v>3119</v>
      </c>
      <c r="D144" t="s">
        <v>145</v>
      </c>
      <c r="E144">
        <v>820.3</v>
      </c>
      <c r="F144">
        <v>11</v>
      </c>
      <c r="G144">
        <v>7988</v>
      </c>
      <c r="H144" s="38">
        <v>6552556</v>
      </c>
      <c r="I144" s="38">
        <v>0</v>
      </c>
      <c r="J144">
        <v>1156</v>
      </c>
      <c r="K144">
        <v>0</v>
      </c>
      <c r="L144">
        <v>66.5</v>
      </c>
      <c r="M144">
        <v>0</v>
      </c>
      <c r="N144">
        <v>75.27</v>
      </c>
      <c r="O144">
        <v>0</v>
      </c>
      <c r="P144">
        <v>385.29</v>
      </c>
      <c r="Q144">
        <v>0</v>
      </c>
      <c r="R144" s="56">
        <v>64.86</v>
      </c>
      <c r="S144" s="56">
        <v>71.28</v>
      </c>
      <c r="T144">
        <v>337810430</v>
      </c>
      <c r="U144">
        <v>337810430</v>
      </c>
      <c r="V144">
        <v>798.9</v>
      </c>
      <c r="W144">
        <v>26</v>
      </c>
    </row>
    <row r="145" spans="1:23" x14ac:dyDescent="0.55000000000000004">
      <c r="A145" s="1">
        <v>10</v>
      </c>
      <c r="B145" s="1">
        <v>52</v>
      </c>
      <c r="C145" s="1">
        <v>3141</v>
      </c>
      <c r="D145" t="s">
        <v>146</v>
      </c>
      <c r="E145">
        <v>14550.6</v>
      </c>
      <c r="F145">
        <v>773</v>
      </c>
      <c r="G145">
        <v>7988</v>
      </c>
      <c r="H145" s="38">
        <v>116230193</v>
      </c>
      <c r="I145" s="38">
        <v>0</v>
      </c>
      <c r="J145">
        <v>729.25</v>
      </c>
      <c r="K145">
        <v>0</v>
      </c>
      <c r="L145">
        <v>80.77</v>
      </c>
      <c r="M145">
        <v>0</v>
      </c>
      <c r="N145">
        <v>83.58</v>
      </c>
      <c r="O145">
        <v>0</v>
      </c>
      <c r="P145">
        <v>385.29</v>
      </c>
      <c r="Q145">
        <v>0</v>
      </c>
      <c r="R145" s="56">
        <v>64.98</v>
      </c>
      <c r="S145" s="56">
        <v>71.459999999999994</v>
      </c>
      <c r="T145">
        <v>7442897206</v>
      </c>
      <c r="U145">
        <v>8067275199</v>
      </c>
      <c r="V145">
        <v>14369.6</v>
      </c>
      <c r="W145">
        <v>1440</v>
      </c>
    </row>
    <row r="146" spans="1:23" x14ac:dyDescent="0.55000000000000004">
      <c r="A146" s="1">
        <v>7</v>
      </c>
      <c r="B146" s="1">
        <v>42</v>
      </c>
      <c r="C146" s="1">
        <v>3150</v>
      </c>
      <c r="D146" t="s">
        <v>147</v>
      </c>
      <c r="E146">
        <v>965.8</v>
      </c>
      <c r="F146">
        <v>1</v>
      </c>
      <c r="G146">
        <v>7988</v>
      </c>
      <c r="H146" s="38">
        <v>7714810</v>
      </c>
      <c r="I146" s="38">
        <v>218696</v>
      </c>
      <c r="J146">
        <v>1064.95</v>
      </c>
      <c r="K146">
        <v>0</v>
      </c>
      <c r="L146">
        <v>80.400000000000006</v>
      </c>
      <c r="M146">
        <v>1520</v>
      </c>
      <c r="N146">
        <v>86.85</v>
      </c>
      <c r="O146">
        <v>1623</v>
      </c>
      <c r="P146">
        <v>385.29</v>
      </c>
      <c r="Q146">
        <v>7017</v>
      </c>
      <c r="R146" s="56">
        <v>65.290000000000006</v>
      </c>
      <c r="S146" s="56">
        <v>72.78</v>
      </c>
      <c r="T146">
        <v>438076218</v>
      </c>
      <c r="U146">
        <v>479545057</v>
      </c>
      <c r="V146">
        <v>974.7</v>
      </c>
      <c r="W146">
        <v>1</v>
      </c>
    </row>
    <row r="147" spans="1:23" x14ac:dyDescent="0.55000000000000004">
      <c r="A147" s="1">
        <v>10</v>
      </c>
      <c r="B147" s="1">
        <v>48</v>
      </c>
      <c r="C147" s="1">
        <v>3154</v>
      </c>
      <c r="D147" t="s">
        <v>148</v>
      </c>
      <c r="E147">
        <v>484.8</v>
      </c>
      <c r="F147">
        <v>2</v>
      </c>
      <c r="G147">
        <v>7988</v>
      </c>
      <c r="H147" s="38">
        <v>3872582</v>
      </c>
      <c r="I147" s="38">
        <v>116698</v>
      </c>
      <c r="J147">
        <v>1065.92</v>
      </c>
      <c r="K147">
        <v>0</v>
      </c>
      <c r="L147">
        <v>76.290000000000006</v>
      </c>
      <c r="M147">
        <v>823</v>
      </c>
      <c r="N147">
        <v>67.489999999999995</v>
      </c>
      <c r="O147">
        <v>568</v>
      </c>
      <c r="P147">
        <v>385.29</v>
      </c>
      <c r="Q147">
        <v>4220</v>
      </c>
      <c r="R147" s="56">
        <v>64.98</v>
      </c>
      <c r="S147" s="56">
        <v>71.459999999999994</v>
      </c>
      <c r="T147">
        <v>190933783</v>
      </c>
      <c r="U147">
        <v>212691973</v>
      </c>
      <c r="V147">
        <v>484.9</v>
      </c>
      <c r="W147">
        <v>3</v>
      </c>
    </row>
    <row r="148" spans="1:23" x14ac:dyDescent="0.55000000000000004">
      <c r="A148" s="1">
        <v>7</v>
      </c>
      <c r="B148" s="1">
        <v>9</v>
      </c>
      <c r="C148" s="1">
        <v>3186</v>
      </c>
      <c r="D148" t="s">
        <v>149</v>
      </c>
      <c r="E148">
        <v>443.1</v>
      </c>
      <c r="F148">
        <v>16</v>
      </c>
      <c r="G148">
        <v>8023</v>
      </c>
      <c r="H148" s="38">
        <v>3554991</v>
      </c>
      <c r="I148" s="38">
        <v>0</v>
      </c>
      <c r="J148">
        <v>1239.0899999999999</v>
      </c>
      <c r="K148">
        <v>0</v>
      </c>
      <c r="L148">
        <v>66.48</v>
      </c>
      <c r="M148">
        <v>0</v>
      </c>
      <c r="N148">
        <v>61.25</v>
      </c>
      <c r="O148">
        <v>0</v>
      </c>
      <c r="P148">
        <v>385.29</v>
      </c>
      <c r="Q148">
        <v>0</v>
      </c>
      <c r="R148" s="56">
        <v>65.290000000000006</v>
      </c>
      <c r="S148" s="56">
        <v>72.78</v>
      </c>
      <c r="T148">
        <v>176690745</v>
      </c>
      <c r="U148">
        <v>177780157</v>
      </c>
      <c r="V148">
        <v>430.2</v>
      </c>
      <c r="W148">
        <v>17</v>
      </c>
    </row>
    <row r="149" spans="1:23" x14ac:dyDescent="0.55000000000000004">
      <c r="A149" s="1">
        <v>7</v>
      </c>
      <c r="B149" s="1">
        <v>10</v>
      </c>
      <c r="C149" s="1">
        <v>3204</v>
      </c>
      <c r="D149" t="s">
        <v>150</v>
      </c>
      <c r="E149">
        <v>869.7</v>
      </c>
      <c r="F149">
        <v>79</v>
      </c>
      <c r="G149">
        <v>7988</v>
      </c>
      <c r="H149" s="38">
        <v>6947164</v>
      </c>
      <c r="I149" s="38">
        <v>0</v>
      </c>
      <c r="J149">
        <v>932.37</v>
      </c>
      <c r="K149">
        <v>0</v>
      </c>
      <c r="L149">
        <v>68.989999999999995</v>
      </c>
      <c r="M149">
        <v>0</v>
      </c>
      <c r="N149">
        <v>82.68</v>
      </c>
      <c r="O149">
        <v>0</v>
      </c>
      <c r="P149">
        <v>385.29</v>
      </c>
      <c r="Q149">
        <v>0</v>
      </c>
      <c r="R149" s="56">
        <v>65.290000000000006</v>
      </c>
      <c r="S149" s="56">
        <v>72.78</v>
      </c>
      <c r="T149">
        <v>356572772</v>
      </c>
      <c r="U149">
        <v>359850514</v>
      </c>
      <c r="V149">
        <v>826.6</v>
      </c>
      <c r="W149">
        <v>126</v>
      </c>
    </row>
    <row r="150" spans="1:23" x14ac:dyDescent="0.55000000000000004">
      <c r="A150" s="1">
        <v>11</v>
      </c>
      <c r="B150" s="1">
        <v>77</v>
      </c>
      <c r="C150" s="1">
        <v>3231</v>
      </c>
      <c r="D150" t="s">
        <v>151</v>
      </c>
      <c r="E150">
        <v>6737.5</v>
      </c>
      <c r="F150">
        <v>273</v>
      </c>
      <c r="G150">
        <v>7988</v>
      </c>
      <c r="H150" s="38">
        <v>53819150</v>
      </c>
      <c r="I150" s="38">
        <v>233341</v>
      </c>
      <c r="J150">
        <v>715.69</v>
      </c>
      <c r="K150">
        <v>0</v>
      </c>
      <c r="L150">
        <v>71.8</v>
      </c>
      <c r="M150">
        <v>0</v>
      </c>
      <c r="N150">
        <v>71.680000000000007</v>
      </c>
      <c r="O150">
        <v>0</v>
      </c>
      <c r="P150">
        <v>385.29</v>
      </c>
      <c r="Q150">
        <v>0</v>
      </c>
      <c r="R150" s="56">
        <v>64.86</v>
      </c>
      <c r="S150" s="56">
        <v>71.28</v>
      </c>
      <c r="T150">
        <v>2987454930</v>
      </c>
      <c r="U150">
        <v>3524044822</v>
      </c>
      <c r="V150">
        <v>6673</v>
      </c>
      <c r="W150">
        <v>556</v>
      </c>
    </row>
    <row r="151" spans="1:23" x14ac:dyDescent="0.55000000000000004">
      <c r="A151" s="1">
        <v>15</v>
      </c>
      <c r="B151" s="1">
        <v>56</v>
      </c>
      <c r="C151" s="1">
        <v>3312</v>
      </c>
      <c r="D151" t="s">
        <v>152</v>
      </c>
      <c r="E151">
        <v>1788.3</v>
      </c>
      <c r="F151">
        <v>94</v>
      </c>
      <c r="G151">
        <v>7988</v>
      </c>
      <c r="H151" s="38">
        <v>14284940</v>
      </c>
      <c r="I151" s="38">
        <v>134802</v>
      </c>
      <c r="J151">
        <v>800.96</v>
      </c>
      <c r="K151">
        <v>0</v>
      </c>
      <c r="L151">
        <v>79.55</v>
      </c>
      <c r="M151">
        <v>0</v>
      </c>
      <c r="N151">
        <v>85.97</v>
      </c>
      <c r="O151">
        <v>0</v>
      </c>
      <c r="P151">
        <v>385.29</v>
      </c>
      <c r="Q151">
        <v>0</v>
      </c>
      <c r="R151" s="56">
        <v>64.959999999999994</v>
      </c>
      <c r="S151" s="56">
        <v>71.430000000000007</v>
      </c>
      <c r="T151">
        <v>403664724</v>
      </c>
      <c r="U151">
        <v>442650844</v>
      </c>
      <c r="V151">
        <v>1746.3</v>
      </c>
      <c r="W151">
        <v>108</v>
      </c>
    </row>
    <row r="152" spans="1:23" x14ac:dyDescent="0.55000000000000004">
      <c r="A152" s="1">
        <v>15</v>
      </c>
      <c r="B152" s="1">
        <v>54</v>
      </c>
      <c r="C152" s="1">
        <v>3330</v>
      </c>
      <c r="D152" t="s">
        <v>153</v>
      </c>
      <c r="E152">
        <v>331.5</v>
      </c>
      <c r="F152">
        <v>3</v>
      </c>
      <c r="G152">
        <v>7992</v>
      </c>
      <c r="H152" s="38">
        <v>2649348</v>
      </c>
      <c r="I152" s="38">
        <v>91836</v>
      </c>
      <c r="J152">
        <v>1811.81</v>
      </c>
      <c r="K152">
        <v>0</v>
      </c>
      <c r="L152">
        <v>77.02</v>
      </c>
      <c r="M152">
        <v>466</v>
      </c>
      <c r="N152">
        <v>72.86</v>
      </c>
      <c r="O152">
        <v>363</v>
      </c>
      <c r="P152">
        <v>385.29</v>
      </c>
      <c r="Q152">
        <v>2347</v>
      </c>
      <c r="R152" s="56">
        <v>64.959999999999994</v>
      </c>
      <c r="S152" s="56">
        <v>71.430000000000007</v>
      </c>
      <c r="T152">
        <v>230855584</v>
      </c>
      <c r="U152">
        <v>230855584</v>
      </c>
      <c r="V152">
        <v>337.7</v>
      </c>
      <c r="W152">
        <v>5</v>
      </c>
    </row>
    <row r="153" spans="1:23" x14ac:dyDescent="0.55000000000000004">
      <c r="A153" s="1">
        <v>12</v>
      </c>
      <c r="B153" s="1">
        <v>75</v>
      </c>
      <c r="C153" s="1">
        <v>3348</v>
      </c>
      <c r="D153" t="s">
        <v>154</v>
      </c>
      <c r="E153">
        <v>461.2</v>
      </c>
      <c r="F153">
        <v>5</v>
      </c>
      <c r="G153">
        <v>8051</v>
      </c>
      <c r="H153" s="38">
        <v>3713121</v>
      </c>
      <c r="I153" s="38">
        <v>0</v>
      </c>
      <c r="J153">
        <v>1141.92</v>
      </c>
      <c r="K153">
        <v>0</v>
      </c>
      <c r="L153">
        <v>83.64</v>
      </c>
      <c r="M153">
        <v>0</v>
      </c>
      <c r="N153">
        <v>91.19</v>
      </c>
      <c r="O153">
        <v>0</v>
      </c>
      <c r="P153">
        <v>385.29</v>
      </c>
      <c r="Q153">
        <v>0</v>
      </c>
      <c r="R153" s="56">
        <v>65.27</v>
      </c>
      <c r="S153" s="56">
        <v>73.06</v>
      </c>
      <c r="T153">
        <v>256468492</v>
      </c>
      <c r="U153">
        <v>258081369</v>
      </c>
      <c r="V153">
        <v>461.1</v>
      </c>
      <c r="W153">
        <v>7</v>
      </c>
    </row>
    <row r="154" spans="1:23" x14ac:dyDescent="0.55000000000000004">
      <c r="A154" s="1">
        <v>11</v>
      </c>
      <c r="B154" s="1">
        <v>63</v>
      </c>
      <c r="C154" s="1">
        <v>3375</v>
      </c>
      <c r="D154" t="s">
        <v>155</v>
      </c>
      <c r="E154">
        <v>1719.4</v>
      </c>
      <c r="F154">
        <v>11</v>
      </c>
      <c r="G154">
        <v>7988</v>
      </c>
      <c r="H154" s="38">
        <v>13734567</v>
      </c>
      <c r="I154" s="38">
        <v>0</v>
      </c>
      <c r="J154">
        <v>829.42</v>
      </c>
      <c r="K154">
        <v>0</v>
      </c>
      <c r="L154">
        <v>74.209999999999994</v>
      </c>
      <c r="M154">
        <v>0</v>
      </c>
      <c r="N154">
        <v>81.88</v>
      </c>
      <c r="O154">
        <v>0</v>
      </c>
      <c r="P154">
        <v>385.29</v>
      </c>
      <c r="Q154">
        <v>0</v>
      </c>
      <c r="R154" s="56">
        <v>64.86</v>
      </c>
      <c r="S154" s="56">
        <v>71.28</v>
      </c>
      <c r="T154">
        <v>573940412</v>
      </c>
      <c r="U154">
        <v>576251837</v>
      </c>
      <c r="V154">
        <v>1628.1</v>
      </c>
      <c r="W154">
        <v>45</v>
      </c>
    </row>
    <row r="155" spans="1:23" x14ac:dyDescent="0.55000000000000004">
      <c r="A155" s="1">
        <v>7</v>
      </c>
      <c r="B155" s="1">
        <v>95</v>
      </c>
      <c r="C155" s="1">
        <v>3420</v>
      </c>
      <c r="D155" t="s">
        <v>156</v>
      </c>
      <c r="E155">
        <v>552.9</v>
      </c>
      <c r="F155">
        <v>2</v>
      </c>
      <c r="G155">
        <v>7988</v>
      </c>
      <c r="H155" s="38">
        <v>4416565</v>
      </c>
      <c r="I155" s="38">
        <v>16144</v>
      </c>
      <c r="J155">
        <v>1019.14</v>
      </c>
      <c r="K155">
        <v>0</v>
      </c>
      <c r="L155">
        <v>75.150000000000006</v>
      </c>
      <c r="M155">
        <v>0</v>
      </c>
      <c r="N155">
        <v>85.44</v>
      </c>
      <c r="O155">
        <v>0</v>
      </c>
      <c r="P155">
        <v>385.29</v>
      </c>
      <c r="Q155">
        <v>0</v>
      </c>
      <c r="R155" s="56">
        <v>65.290000000000006</v>
      </c>
      <c r="S155" s="56">
        <v>72.78</v>
      </c>
      <c r="T155">
        <v>341266796</v>
      </c>
      <c r="U155">
        <v>381800366</v>
      </c>
      <c r="V155">
        <v>544.5</v>
      </c>
      <c r="W155">
        <v>4</v>
      </c>
    </row>
    <row r="156" spans="1:23" x14ac:dyDescent="0.55000000000000004">
      <c r="A156" s="1">
        <v>13</v>
      </c>
      <c r="B156" s="1">
        <v>27</v>
      </c>
      <c r="C156" s="1">
        <v>3465</v>
      </c>
      <c r="D156" t="s">
        <v>157</v>
      </c>
      <c r="E156">
        <v>290.3</v>
      </c>
      <c r="F156">
        <v>0</v>
      </c>
      <c r="G156">
        <v>7988</v>
      </c>
      <c r="H156" s="38">
        <v>2318916</v>
      </c>
      <c r="I156" s="38">
        <v>95045</v>
      </c>
      <c r="J156">
        <v>1440.78</v>
      </c>
      <c r="K156">
        <v>0</v>
      </c>
      <c r="L156">
        <v>83.01</v>
      </c>
      <c r="M156">
        <v>789</v>
      </c>
      <c r="N156">
        <v>84.41</v>
      </c>
      <c r="O156">
        <v>768</v>
      </c>
      <c r="P156">
        <v>385.29</v>
      </c>
      <c r="Q156">
        <v>3512</v>
      </c>
      <c r="R156" s="56">
        <v>64.989999999999995</v>
      </c>
      <c r="S156" s="56">
        <v>71.86</v>
      </c>
      <c r="T156">
        <v>96470814</v>
      </c>
      <c r="U156">
        <v>97395094</v>
      </c>
      <c r="V156">
        <v>288.89999999999998</v>
      </c>
      <c r="W156">
        <v>0</v>
      </c>
    </row>
    <row r="157" spans="1:23" x14ac:dyDescent="0.55000000000000004">
      <c r="A157" s="1">
        <v>5</v>
      </c>
      <c r="B157" s="1">
        <v>76</v>
      </c>
      <c r="C157" s="1">
        <v>3537</v>
      </c>
      <c r="D157" t="s">
        <v>158</v>
      </c>
      <c r="E157">
        <v>315</v>
      </c>
      <c r="F157">
        <v>2</v>
      </c>
      <c r="G157">
        <v>7988</v>
      </c>
      <c r="H157" s="38">
        <v>2516220</v>
      </c>
      <c r="I157" s="38">
        <v>0</v>
      </c>
      <c r="J157">
        <v>1250.3800000000001</v>
      </c>
      <c r="K157">
        <v>0</v>
      </c>
      <c r="L157">
        <v>82.44</v>
      </c>
      <c r="M157">
        <v>0</v>
      </c>
      <c r="N157">
        <v>79.39</v>
      </c>
      <c r="O157">
        <v>0</v>
      </c>
      <c r="P157">
        <v>385.29</v>
      </c>
      <c r="Q157">
        <v>0</v>
      </c>
      <c r="R157" s="56">
        <v>65.34</v>
      </c>
      <c r="S157" s="56">
        <v>73.16</v>
      </c>
      <c r="T157">
        <v>208367741</v>
      </c>
      <c r="U157">
        <v>211710405</v>
      </c>
      <c r="V157">
        <v>280</v>
      </c>
      <c r="W157">
        <v>2</v>
      </c>
    </row>
    <row r="158" spans="1:23" x14ac:dyDescent="0.55000000000000004">
      <c r="A158" s="1">
        <v>12</v>
      </c>
      <c r="B158" s="1">
        <v>97</v>
      </c>
      <c r="C158" s="1">
        <v>3555</v>
      </c>
      <c r="D158" t="s">
        <v>159</v>
      </c>
      <c r="E158">
        <v>601.29999999999995</v>
      </c>
      <c r="F158">
        <v>16</v>
      </c>
      <c r="G158">
        <v>7988</v>
      </c>
      <c r="H158" s="38">
        <v>4803184</v>
      </c>
      <c r="I158" s="38">
        <v>37384</v>
      </c>
      <c r="J158">
        <v>1008.45</v>
      </c>
      <c r="K158">
        <v>0</v>
      </c>
      <c r="L158">
        <v>72.42</v>
      </c>
      <c r="M158">
        <v>0</v>
      </c>
      <c r="N158">
        <v>71.209999999999994</v>
      </c>
      <c r="O158">
        <v>0</v>
      </c>
      <c r="P158">
        <v>385.29</v>
      </c>
      <c r="Q158">
        <v>0</v>
      </c>
      <c r="R158" s="56">
        <v>65.27</v>
      </c>
      <c r="S158" s="56">
        <v>73.06</v>
      </c>
      <c r="T158">
        <v>300816118</v>
      </c>
      <c r="U158">
        <v>300816118</v>
      </c>
      <c r="V158">
        <v>601.20000000000005</v>
      </c>
      <c r="W158">
        <v>27</v>
      </c>
    </row>
    <row r="159" spans="1:23" x14ac:dyDescent="0.55000000000000004">
      <c r="A159" s="1">
        <v>12</v>
      </c>
      <c r="B159" s="1">
        <v>75</v>
      </c>
      <c r="C159" s="1">
        <v>3600</v>
      </c>
      <c r="D159" t="s">
        <v>160</v>
      </c>
      <c r="E159">
        <v>2152.9</v>
      </c>
      <c r="F159">
        <v>357</v>
      </c>
      <c r="G159">
        <v>7988</v>
      </c>
      <c r="H159" s="38">
        <v>17197365</v>
      </c>
      <c r="I159" s="38">
        <v>184103</v>
      </c>
      <c r="J159">
        <v>743.73</v>
      </c>
      <c r="K159">
        <v>0</v>
      </c>
      <c r="L159">
        <v>76.69</v>
      </c>
      <c r="M159">
        <v>0</v>
      </c>
      <c r="N159">
        <v>74.06</v>
      </c>
      <c r="O159">
        <v>0</v>
      </c>
      <c r="P159">
        <v>385.29</v>
      </c>
      <c r="Q159">
        <v>0</v>
      </c>
      <c r="R159" s="56">
        <v>65.27</v>
      </c>
      <c r="S159" s="56">
        <v>73.06</v>
      </c>
      <c r="T159">
        <v>1196060777</v>
      </c>
      <c r="U159">
        <v>1291639638</v>
      </c>
      <c r="V159">
        <v>2146.1</v>
      </c>
      <c r="W159">
        <v>470</v>
      </c>
    </row>
    <row r="160" spans="1:23" x14ac:dyDescent="0.55000000000000004">
      <c r="A160" s="1">
        <v>13</v>
      </c>
      <c r="B160" s="1">
        <v>87</v>
      </c>
      <c r="C160" s="1">
        <v>3609</v>
      </c>
      <c r="D160" t="s">
        <v>161</v>
      </c>
      <c r="E160">
        <v>453.4</v>
      </c>
      <c r="F160">
        <v>0</v>
      </c>
      <c r="G160">
        <v>7988</v>
      </c>
      <c r="H160" s="38">
        <v>3621759</v>
      </c>
      <c r="I160" s="38">
        <v>26057</v>
      </c>
      <c r="J160">
        <v>1302.54</v>
      </c>
      <c r="K160">
        <v>0</v>
      </c>
      <c r="L160">
        <v>85.83</v>
      </c>
      <c r="M160">
        <v>0</v>
      </c>
      <c r="N160">
        <v>97.73</v>
      </c>
      <c r="O160">
        <v>25</v>
      </c>
      <c r="P160">
        <v>385.29</v>
      </c>
      <c r="Q160">
        <v>0</v>
      </c>
      <c r="R160" s="56">
        <v>64.989999999999995</v>
      </c>
      <c r="S160" s="56">
        <v>71.86</v>
      </c>
      <c r="T160">
        <v>206708410</v>
      </c>
      <c r="U160">
        <v>207627803</v>
      </c>
      <c r="V160">
        <v>424.1</v>
      </c>
      <c r="W160">
        <v>0</v>
      </c>
    </row>
    <row r="161" spans="1:23" x14ac:dyDescent="0.55000000000000004">
      <c r="A161" s="1">
        <v>13</v>
      </c>
      <c r="B161" s="1">
        <v>78</v>
      </c>
      <c r="C161" s="1">
        <v>3645</v>
      </c>
      <c r="D161" t="s">
        <v>162</v>
      </c>
      <c r="E161">
        <v>2616.4</v>
      </c>
      <c r="F161">
        <v>160</v>
      </c>
      <c r="G161">
        <v>7988</v>
      </c>
      <c r="H161" s="38">
        <v>20899803</v>
      </c>
      <c r="I161" s="38">
        <v>223541</v>
      </c>
      <c r="J161">
        <v>756.86</v>
      </c>
      <c r="K161">
        <v>0</v>
      </c>
      <c r="L161">
        <v>77.73</v>
      </c>
      <c r="M161">
        <v>0</v>
      </c>
      <c r="N161">
        <v>96.87</v>
      </c>
      <c r="O161">
        <v>0</v>
      </c>
      <c r="P161">
        <v>385.29</v>
      </c>
      <c r="Q161">
        <v>0</v>
      </c>
      <c r="R161" s="56">
        <v>64.989999999999995</v>
      </c>
      <c r="S161" s="56">
        <v>71.86</v>
      </c>
      <c r="T161">
        <v>1957713065</v>
      </c>
      <c r="U161">
        <v>1969501519</v>
      </c>
      <c r="V161">
        <v>2557.4</v>
      </c>
      <c r="W161">
        <v>231</v>
      </c>
    </row>
    <row r="162" spans="1:23" x14ac:dyDescent="0.55000000000000004">
      <c r="A162" s="1">
        <v>10</v>
      </c>
      <c r="B162" s="1">
        <v>57</v>
      </c>
      <c r="C162" s="1">
        <v>3715</v>
      </c>
      <c r="D162" t="s">
        <v>163</v>
      </c>
      <c r="E162">
        <v>7493.7</v>
      </c>
      <c r="F162">
        <v>427</v>
      </c>
      <c r="G162">
        <v>7988</v>
      </c>
      <c r="H162" s="38">
        <v>59859676</v>
      </c>
      <c r="I162" s="38">
        <v>0</v>
      </c>
      <c r="J162">
        <v>726.75</v>
      </c>
      <c r="K162">
        <v>0</v>
      </c>
      <c r="L162">
        <v>72.48</v>
      </c>
      <c r="M162">
        <v>0</v>
      </c>
      <c r="N162">
        <v>72.680000000000007</v>
      </c>
      <c r="O162">
        <v>0</v>
      </c>
      <c r="P162">
        <v>385.29</v>
      </c>
      <c r="Q162">
        <v>0</v>
      </c>
      <c r="R162" s="56">
        <v>64.98</v>
      </c>
      <c r="S162" s="56">
        <v>71.459999999999994</v>
      </c>
      <c r="T162">
        <v>2725003373</v>
      </c>
      <c r="U162">
        <v>2849812003</v>
      </c>
      <c r="V162">
        <v>7448.7</v>
      </c>
      <c r="W162">
        <v>637</v>
      </c>
    </row>
    <row r="163" spans="1:23" x14ac:dyDescent="0.55000000000000004">
      <c r="A163" s="1">
        <v>10</v>
      </c>
      <c r="B163" s="1">
        <v>57</v>
      </c>
      <c r="C163" s="1">
        <v>3744</v>
      </c>
      <c r="D163" t="s">
        <v>164</v>
      </c>
      <c r="E163">
        <v>678.4</v>
      </c>
      <c r="F163">
        <v>2</v>
      </c>
      <c r="G163">
        <v>7988</v>
      </c>
      <c r="H163" s="38">
        <v>5419059</v>
      </c>
      <c r="I163" s="38">
        <v>0</v>
      </c>
      <c r="J163">
        <v>1190.9100000000001</v>
      </c>
      <c r="K163">
        <v>0</v>
      </c>
      <c r="L163">
        <v>66.19</v>
      </c>
      <c r="M163">
        <v>0</v>
      </c>
      <c r="N163">
        <v>66.33</v>
      </c>
      <c r="O163">
        <v>0</v>
      </c>
      <c r="P163">
        <v>385.29</v>
      </c>
      <c r="Q163">
        <v>0</v>
      </c>
      <c r="R163" s="56">
        <v>64.98</v>
      </c>
      <c r="S163" s="56">
        <v>71.459999999999994</v>
      </c>
      <c r="T163">
        <v>224886677</v>
      </c>
      <c r="U163">
        <v>231113485</v>
      </c>
      <c r="V163">
        <v>670.7</v>
      </c>
      <c r="W163">
        <v>6</v>
      </c>
    </row>
    <row r="164" spans="1:23" x14ac:dyDescent="0.55000000000000004">
      <c r="A164" s="1">
        <v>13</v>
      </c>
      <c r="B164" s="1">
        <v>43</v>
      </c>
      <c r="C164" s="1">
        <v>3798</v>
      </c>
      <c r="D164" t="s">
        <v>165</v>
      </c>
      <c r="E164">
        <v>586</v>
      </c>
      <c r="F164">
        <v>2</v>
      </c>
      <c r="G164">
        <v>7988</v>
      </c>
      <c r="H164" s="38">
        <v>4680968</v>
      </c>
      <c r="I164" s="38">
        <v>0</v>
      </c>
      <c r="J164">
        <v>1219.54</v>
      </c>
      <c r="K164">
        <v>0</v>
      </c>
      <c r="L164">
        <v>76.959999999999994</v>
      </c>
      <c r="M164">
        <v>0</v>
      </c>
      <c r="N164">
        <v>79.11</v>
      </c>
      <c r="O164">
        <v>0</v>
      </c>
      <c r="P164">
        <v>385.29</v>
      </c>
      <c r="Q164">
        <v>0</v>
      </c>
      <c r="R164" s="56">
        <v>64.989999999999995</v>
      </c>
      <c r="S164" s="56">
        <v>71.86</v>
      </c>
      <c r="T164">
        <v>255250503</v>
      </c>
      <c r="U164">
        <v>255250503</v>
      </c>
      <c r="V164">
        <v>554.4</v>
      </c>
      <c r="W164">
        <v>0</v>
      </c>
    </row>
    <row r="165" spans="1:23" x14ac:dyDescent="0.55000000000000004">
      <c r="A165" s="1">
        <v>10</v>
      </c>
      <c r="B165" s="1">
        <v>52</v>
      </c>
      <c r="C165" s="1">
        <v>3816</v>
      </c>
      <c r="D165" t="s">
        <v>166</v>
      </c>
      <c r="E165">
        <v>299.8</v>
      </c>
      <c r="F165">
        <v>7</v>
      </c>
      <c r="G165">
        <v>7988</v>
      </c>
      <c r="H165" s="38">
        <v>2394802</v>
      </c>
      <c r="I165" s="38">
        <v>39710</v>
      </c>
      <c r="J165">
        <v>1955.37</v>
      </c>
      <c r="K165">
        <v>0</v>
      </c>
      <c r="L165">
        <v>79.17</v>
      </c>
      <c r="M165">
        <v>0</v>
      </c>
      <c r="N165">
        <v>86.79</v>
      </c>
      <c r="O165">
        <v>0</v>
      </c>
      <c r="P165">
        <v>385.29</v>
      </c>
      <c r="Q165">
        <v>0</v>
      </c>
      <c r="R165" s="56">
        <v>64.98</v>
      </c>
      <c r="S165" s="56">
        <v>71.459999999999994</v>
      </c>
      <c r="T165">
        <v>202921858</v>
      </c>
      <c r="U165">
        <v>202921858</v>
      </c>
      <c r="V165">
        <v>286.39999999999998</v>
      </c>
      <c r="W165">
        <v>3</v>
      </c>
    </row>
    <row r="166" spans="1:23" x14ac:dyDescent="0.55000000000000004">
      <c r="A166" s="1">
        <v>9</v>
      </c>
      <c r="B166" s="1">
        <v>58</v>
      </c>
      <c r="C166" s="1">
        <v>3841</v>
      </c>
      <c r="D166" t="s">
        <v>167</v>
      </c>
      <c r="E166">
        <v>669</v>
      </c>
      <c r="F166">
        <v>2</v>
      </c>
      <c r="G166">
        <v>7988</v>
      </c>
      <c r="H166" s="38">
        <v>5343972</v>
      </c>
      <c r="I166" s="38">
        <v>0</v>
      </c>
      <c r="J166">
        <v>1083.68</v>
      </c>
      <c r="K166">
        <v>0</v>
      </c>
      <c r="L166">
        <v>84.69</v>
      </c>
      <c r="M166">
        <v>0</v>
      </c>
      <c r="N166">
        <v>79.48</v>
      </c>
      <c r="O166">
        <v>0</v>
      </c>
      <c r="P166">
        <v>385.29</v>
      </c>
      <c r="Q166">
        <v>0</v>
      </c>
      <c r="R166" s="56">
        <v>64.8</v>
      </c>
      <c r="S166" s="56">
        <v>70.86</v>
      </c>
      <c r="T166">
        <v>321486884</v>
      </c>
      <c r="U166">
        <v>334162920</v>
      </c>
      <c r="V166">
        <v>645.6</v>
      </c>
      <c r="W166">
        <v>7</v>
      </c>
    </row>
    <row r="167" spans="1:23" x14ac:dyDescent="0.55000000000000004">
      <c r="A167" s="1">
        <v>11</v>
      </c>
      <c r="B167" s="1">
        <v>50</v>
      </c>
      <c r="C167" s="1">
        <v>3906</v>
      </c>
      <c r="D167" t="s">
        <v>168</v>
      </c>
      <c r="E167">
        <v>425.8</v>
      </c>
      <c r="F167">
        <v>58</v>
      </c>
      <c r="G167">
        <v>7988</v>
      </c>
      <c r="H167" s="38">
        <v>3401290</v>
      </c>
      <c r="I167" s="38">
        <v>56824</v>
      </c>
      <c r="J167">
        <v>1155.52</v>
      </c>
      <c r="K167">
        <v>0</v>
      </c>
      <c r="L167">
        <v>71.209999999999994</v>
      </c>
      <c r="M167">
        <v>0</v>
      </c>
      <c r="N167">
        <v>72.760000000000005</v>
      </c>
      <c r="O167">
        <v>0</v>
      </c>
      <c r="P167">
        <v>385.29</v>
      </c>
      <c r="Q167">
        <v>0</v>
      </c>
      <c r="R167" s="56">
        <v>64.86</v>
      </c>
      <c r="S167" s="56">
        <v>71.28</v>
      </c>
      <c r="T167">
        <v>288003729</v>
      </c>
      <c r="U167">
        <v>298296807</v>
      </c>
      <c r="V167">
        <v>427.7</v>
      </c>
      <c r="W167">
        <v>64</v>
      </c>
    </row>
    <row r="168" spans="1:23" x14ac:dyDescent="0.55000000000000004">
      <c r="A168" s="1">
        <v>1</v>
      </c>
      <c r="B168" s="1">
        <v>22</v>
      </c>
      <c r="C168" s="1">
        <v>4419</v>
      </c>
      <c r="D168" t="s">
        <v>169</v>
      </c>
      <c r="E168">
        <v>794.9</v>
      </c>
      <c r="F168">
        <v>3</v>
      </c>
      <c r="G168">
        <v>7988</v>
      </c>
      <c r="H168" s="38">
        <v>6349661</v>
      </c>
      <c r="I168" s="38">
        <v>72610</v>
      </c>
      <c r="J168">
        <v>1043.95</v>
      </c>
      <c r="K168">
        <v>0</v>
      </c>
      <c r="L168">
        <v>84.18</v>
      </c>
      <c r="M168">
        <v>308</v>
      </c>
      <c r="N168">
        <v>86.27</v>
      </c>
      <c r="O168">
        <v>232</v>
      </c>
      <c r="P168">
        <v>385.29</v>
      </c>
      <c r="Q168">
        <v>926</v>
      </c>
      <c r="R168" s="56">
        <v>65.260000000000005</v>
      </c>
      <c r="S168" s="56">
        <v>72.69</v>
      </c>
      <c r="T168">
        <v>314177253</v>
      </c>
      <c r="U168">
        <v>335044204</v>
      </c>
      <c r="V168">
        <v>800.1</v>
      </c>
      <c r="W168">
        <v>4</v>
      </c>
    </row>
    <row r="169" spans="1:23" x14ac:dyDescent="0.55000000000000004">
      <c r="A169" s="1">
        <v>11</v>
      </c>
      <c r="B169" s="1">
        <v>8</v>
      </c>
      <c r="C169" s="1">
        <v>3942</v>
      </c>
      <c r="D169" t="s">
        <v>170</v>
      </c>
      <c r="E169">
        <v>619.5</v>
      </c>
      <c r="F169">
        <v>1</v>
      </c>
      <c r="G169">
        <v>7988</v>
      </c>
      <c r="H169" s="38">
        <v>4948566</v>
      </c>
      <c r="I169" s="38">
        <v>139406</v>
      </c>
      <c r="J169">
        <v>1037.08</v>
      </c>
      <c r="K169">
        <v>0</v>
      </c>
      <c r="L169">
        <v>74.760000000000005</v>
      </c>
      <c r="M169">
        <v>829</v>
      </c>
      <c r="N169">
        <v>81.63</v>
      </c>
      <c r="O169">
        <v>906</v>
      </c>
      <c r="P169">
        <v>385.29</v>
      </c>
      <c r="Q169">
        <v>4457</v>
      </c>
      <c r="R169" s="56">
        <v>64.86</v>
      </c>
      <c r="S169" s="56">
        <v>71.28</v>
      </c>
      <c r="T169">
        <v>198413302</v>
      </c>
      <c r="U169">
        <v>202773209</v>
      </c>
      <c r="V169">
        <v>620.1</v>
      </c>
      <c r="W169">
        <v>2</v>
      </c>
    </row>
    <row r="170" spans="1:23" x14ac:dyDescent="0.55000000000000004">
      <c r="A170" s="1">
        <v>5</v>
      </c>
      <c r="B170" s="1">
        <v>13</v>
      </c>
      <c r="C170" s="1">
        <v>4023</v>
      </c>
      <c r="D170" t="s">
        <v>171</v>
      </c>
      <c r="E170">
        <v>660.3</v>
      </c>
      <c r="F170">
        <v>48</v>
      </c>
      <c r="G170">
        <v>8008</v>
      </c>
      <c r="H170" s="38">
        <v>5287682</v>
      </c>
      <c r="I170" s="38">
        <v>0</v>
      </c>
      <c r="J170">
        <v>1098.76</v>
      </c>
      <c r="K170">
        <v>0</v>
      </c>
      <c r="L170">
        <v>78.27</v>
      </c>
      <c r="M170">
        <v>0</v>
      </c>
      <c r="N170">
        <v>66.37</v>
      </c>
      <c r="O170">
        <v>0</v>
      </c>
      <c r="P170">
        <v>385.29</v>
      </c>
      <c r="Q170">
        <v>0</v>
      </c>
      <c r="R170" s="56">
        <v>65.34</v>
      </c>
      <c r="S170" s="56">
        <v>73.16</v>
      </c>
      <c r="T170">
        <v>464725335</v>
      </c>
      <c r="U170">
        <v>514013324</v>
      </c>
      <c r="V170">
        <v>641.29999999999995</v>
      </c>
      <c r="W170">
        <v>79</v>
      </c>
    </row>
    <row r="171" spans="1:23" x14ac:dyDescent="0.55000000000000004">
      <c r="A171" s="1">
        <v>12</v>
      </c>
      <c r="B171" s="1">
        <v>67</v>
      </c>
      <c r="C171" s="1">
        <v>4033</v>
      </c>
      <c r="D171" t="s">
        <v>172</v>
      </c>
      <c r="E171">
        <v>560.29999999999995</v>
      </c>
      <c r="F171">
        <v>23</v>
      </c>
      <c r="G171">
        <v>8055</v>
      </c>
      <c r="H171" s="38">
        <v>4513217</v>
      </c>
      <c r="I171" s="38">
        <v>69558</v>
      </c>
      <c r="J171">
        <v>1092.6099999999999</v>
      </c>
      <c r="K171">
        <v>0</v>
      </c>
      <c r="L171">
        <v>73.78</v>
      </c>
      <c r="M171">
        <v>0</v>
      </c>
      <c r="N171">
        <v>71.81</v>
      </c>
      <c r="O171">
        <v>0</v>
      </c>
      <c r="P171">
        <v>385.29</v>
      </c>
      <c r="Q171">
        <v>0</v>
      </c>
      <c r="R171" s="56">
        <v>65.27</v>
      </c>
      <c r="S171" s="56">
        <v>73.06</v>
      </c>
      <c r="T171">
        <v>478273795</v>
      </c>
      <c r="U171">
        <v>478273795</v>
      </c>
      <c r="V171">
        <v>535.5</v>
      </c>
      <c r="W171">
        <v>33</v>
      </c>
    </row>
    <row r="172" spans="1:23" x14ac:dyDescent="0.55000000000000004">
      <c r="A172" s="1">
        <v>9</v>
      </c>
      <c r="B172" s="1">
        <v>49</v>
      </c>
      <c r="C172" s="1">
        <v>4041</v>
      </c>
      <c r="D172" t="s">
        <v>173</v>
      </c>
      <c r="E172">
        <v>1201.3</v>
      </c>
      <c r="F172">
        <v>113</v>
      </c>
      <c r="G172">
        <v>7988</v>
      </c>
      <c r="H172" s="38">
        <v>9595984</v>
      </c>
      <c r="I172" s="38">
        <v>164986</v>
      </c>
      <c r="J172">
        <v>1111.48</v>
      </c>
      <c r="K172">
        <v>0</v>
      </c>
      <c r="L172">
        <v>83.28</v>
      </c>
      <c r="M172">
        <v>0</v>
      </c>
      <c r="N172">
        <v>86.25</v>
      </c>
      <c r="O172">
        <v>0</v>
      </c>
      <c r="P172">
        <v>385.29</v>
      </c>
      <c r="Q172">
        <v>0</v>
      </c>
      <c r="R172" s="56">
        <v>64.8</v>
      </c>
      <c r="S172" s="56">
        <v>70.86</v>
      </c>
      <c r="T172">
        <v>483054871</v>
      </c>
      <c r="U172">
        <v>505961171</v>
      </c>
      <c r="V172">
        <v>1134.5999999999999</v>
      </c>
      <c r="W172">
        <v>150</v>
      </c>
    </row>
    <row r="173" spans="1:23" x14ac:dyDescent="0.55000000000000004">
      <c r="A173" s="1">
        <v>1</v>
      </c>
      <c r="B173" s="1">
        <v>28</v>
      </c>
      <c r="C173" s="1">
        <v>4043</v>
      </c>
      <c r="D173" t="s">
        <v>174</v>
      </c>
      <c r="E173">
        <v>671.9</v>
      </c>
      <c r="F173">
        <v>37</v>
      </c>
      <c r="G173">
        <v>7988</v>
      </c>
      <c r="H173" s="38">
        <v>5367137</v>
      </c>
      <c r="I173" s="38">
        <v>0</v>
      </c>
      <c r="J173">
        <v>1105.9000000000001</v>
      </c>
      <c r="K173">
        <v>0</v>
      </c>
      <c r="L173">
        <v>77.2</v>
      </c>
      <c r="M173">
        <v>0</v>
      </c>
      <c r="N173">
        <v>76.569999999999993</v>
      </c>
      <c r="O173">
        <v>0</v>
      </c>
      <c r="P173">
        <v>385.29</v>
      </c>
      <c r="Q173">
        <v>0</v>
      </c>
      <c r="R173" s="56">
        <v>65.260000000000005</v>
      </c>
      <c r="S173" s="56">
        <v>72.69</v>
      </c>
      <c r="T173">
        <v>494682134</v>
      </c>
      <c r="U173">
        <v>498951514</v>
      </c>
      <c r="V173">
        <v>673</v>
      </c>
      <c r="W173">
        <v>44</v>
      </c>
    </row>
    <row r="174" spans="1:23" x14ac:dyDescent="0.55000000000000004">
      <c r="A174" s="1">
        <v>12</v>
      </c>
      <c r="B174" s="1">
        <v>18</v>
      </c>
      <c r="C174" s="1">
        <v>4068</v>
      </c>
      <c r="D174" t="s">
        <v>175</v>
      </c>
      <c r="E174">
        <v>444.8</v>
      </c>
      <c r="F174">
        <v>11</v>
      </c>
      <c r="G174">
        <v>7988</v>
      </c>
      <c r="H174" s="38">
        <v>3553062</v>
      </c>
      <c r="I174" s="38">
        <v>124790</v>
      </c>
      <c r="J174">
        <v>1465.72</v>
      </c>
      <c r="K174">
        <v>0</v>
      </c>
      <c r="L174">
        <v>77.23</v>
      </c>
      <c r="M174">
        <v>557</v>
      </c>
      <c r="N174">
        <v>63.38</v>
      </c>
      <c r="O174">
        <v>261</v>
      </c>
      <c r="P174">
        <v>385.29</v>
      </c>
      <c r="Q174">
        <v>2792</v>
      </c>
      <c r="R174" s="56">
        <v>65.27</v>
      </c>
      <c r="S174" s="56">
        <v>73.06</v>
      </c>
      <c r="T174">
        <v>462061827</v>
      </c>
      <c r="U174">
        <v>467773731</v>
      </c>
      <c r="V174">
        <v>454.3</v>
      </c>
      <c r="W174">
        <v>7</v>
      </c>
    </row>
    <row r="175" spans="1:23" x14ac:dyDescent="0.55000000000000004">
      <c r="A175" s="1">
        <v>10</v>
      </c>
      <c r="B175" s="1">
        <v>57</v>
      </c>
      <c r="C175" s="1">
        <v>4086</v>
      </c>
      <c r="D175" t="s">
        <v>176</v>
      </c>
      <c r="E175">
        <v>1706.9</v>
      </c>
      <c r="F175">
        <v>82</v>
      </c>
      <c r="G175">
        <v>8050</v>
      </c>
      <c r="H175" s="38">
        <v>13740545</v>
      </c>
      <c r="I175" s="38">
        <v>213521</v>
      </c>
      <c r="J175">
        <v>901.72</v>
      </c>
      <c r="K175">
        <v>0</v>
      </c>
      <c r="L175">
        <v>83.93</v>
      </c>
      <c r="M175">
        <v>0</v>
      </c>
      <c r="N175">
        <v>86.33</v>
      </c>
      <c r="O175">
        <v>0</v>
      </c>
      <c r="P175">
        <v>385.29</v>
      </c>
      <c r="Q175">
        <v>0</v>
      </c>
      <c r="R175" s="56">
        <v>64.98</v>
      </c>
      <c r="S175" s="56">
        <v>71.459999999999994</v>
      </c>
      <c r="T175">
        <v>531336699</v>
      </c>
      <c r="U175">
        <v>612750174</v>
      </c>
      <c r="V175">
        <v>1704.6</v>
      </c>
      <c r="W175">
        <v>105</v>
      </c>
    </row>
    <row r="176" spans="1:23" x14ac:dyDescent="0.55000000000000004">
      <c r="A176" s="1">
        <v>7</v>
      </c>
      <c r="B176" s="1">
        <v>64</v>
      </c>
      <c r="C176" s="1">
        <v>4104</v>
      </c>
      <c r="D176" t="s">
        <v>177</v>
      </c>
      <c r="E176">
        <v>5380.3</v>
      </c>
      <c r="F176">
        <v>265</v>
      </c>
      <c r="G176">
        <v>7989</v>
      </c>
      <c r="H176" s="38">
        <v>42983217</v>
      </c>
      <c r="I176" s="38">
        <v>0</v>
      </c>
      <c r="J176">
        <v>730.37</v>
      </c>
      <c r="K176">
        <v>0</v>
      </c>
      <c r="L176">
        <v>74.72</v>
      </c>
      <c r="M176">
        <v>0</v>
      </c>
      <c r="N176">
        <v>100.05</v>
      </c>
      <c r="O176">
        <v>0</v>
      </c>
      <c r="P176">
        <v>385.29</v>
      </c>
      <c r="Q176">
        <v>0</v>
      </c>
      <c r="R176" s="56">
        <v>65.290000000000006</v>
      </c>
      <c r="S176" s="56">
        <v>72.78</v>
      </c>
      <c r="T176">
        <v>1302047928</v>
      </c>
      <c r="U176">
        <v>1347248745</v>
      </c>
      <c r="V176">
        <v>5297.2</v>
      </c>
      <c r="W176">
        <v>311</v>
      </c>
    </row>
    <row r="177" spans="1:23" x14ac:dyDescent="0.55000000000000004">
      <c r="A177" s="1">
        <v>11</v>
      </c>
      <c r="B177" s="1">
        <v>91</v>
      </c>
      <c r="C177" s="1">
        <v>4122</v>
      </c>
      <c r="D177" t="s">
        <v>178</v>
      </c>
      <c r="E177">
        <v>474</v>
      </c>
      <c r="F177">
        <v>9</v>
      </c>
      <c r="G177">
        <v>7988</v>
      </c>
      <c r="H177" s="38">
        <v>3786312</v>
      </c>
      <c r="I177" s="38">
        <v>67015</v>
      </c>
      <c r="J177">
        <v>1249.8900000000001</v>
      </c>
      <c r="K177">
        <v>0</v>
      </c>
      <c r="L177">
        <v>67.27</v>
      </c>
      <c r="M177">
        <v>0</v>
      </c>
      <c r="N177">
        <v>75.8</v>
      </c>
      <c r="O177">
        <v>0</v>
      </c>
      <c r="P177">
        <v>385.29</v>
      </c>
      <c r="Q177">
        <v>0</v>
      </c>
      <c r="R177" s="56">
        <v>64.86</v>
      </c>
      <c r="S177" s="56">
        <v>71.28</v>
      </c>
      <c r="T177">
        <v>237690169</v>
      </c>
      <c r="U177">
        <v>237690169</v>
      </c>
      <c r="V177">
        <v>466.8</v>
      </c>
      <c r="W177">
        <v>41</v>
      </c>
    </row>
    <row r="178" spans="1:23" x14ac:dyDescent="0.55000000000000004">
      <c r="A178" s="1">
        <v>7</v>
      </c>
      <c r="B178" s="1">
        <v>17</v>
      </c>
      <c r="C178" s="1">
        <v>4131</v>
      </c>
      <c r="D178" t="s">
        <v>179</v>
      </c>
      <c r="E178">
        <v>3280.2</v>
      </c>
      <c r="F178">
        <v>419</v>
      </c>
      <c r="G178">
        <v>8020</v>
      </c>
      <c r="H178" s="38">
        <v>26307204</v>
      </c>
      <c r="I178" s="38">
        <v>305198</v>
      </c>
      <c r="J178">
        <v>743.77</v>
      </c>
      <c r="K178">
        <v>0</v>
      </c>
      <c r="L178">
        <v>79.17</v>
      </c>
      <c r="M178">
        <v>0</v>
      </c>
      <c r="N178">
        <v>89.1</v>
      </c>
      <c r="O178">
        <v>0</v>
      </c>
      <c r="P178">
        <v>385.29</v>
      </c>
      <c r="Q178">
        <v>0</v>
      </c>
      <c r="R178" s="56">
        <v>65.290000000000006</v>
      </c>
      <c r="S178" s="56">
        <v>72.78</v>
      </c>
      <c r="T178">
        <v>1460523539</v>
      </c>
      <c r="U178">
        <v>1552983479</v>
      </c>
      <c r="V178">
        <v>3286.8</v>
      </c>
      <c r="W178">
        <v>584</v>
      </c>
    </row>
    <row r="179" spans="1:23" x14ac:dyDescent="0.55000000000000004">
      <c r="A179" s="1">
        <v>15</v>
      </c>
      <c r="B179" s="1">
        <v>29</v>
      </c>
      <c r="C179" s="1">
        <v>4203</v>
      </c>
      <c r="D179" t="s">
        <v>180</v>
      </c>
      <c r="E179">
        <v>870.6</v>
      </c>
      <c r="F179">
        <v>7</v>
      </c>
      <c r="G179">
        <v>7988</v>
      </c>
      <c r="H179" s="38">
        <v>6954353</v>
      </c>
      <c r="I179" s="38">
        <v>48031</v>
      </c>
      <c r="J179">
        <v>941.56</v>
      </c>
      <c r="K179">
        <v>0</v>
      </c>
      <c r="L179">
        <v>69.72</v>
      </c>
      <c r="M179">
        <v>0</v>
      </c>
      <c r="N179">
        <v>74.02</v>
      </c>
      <c r="O179">
        <v>0</v>
      </c>
      <c r="P179">
        <v>385.29</v>
      </c>
      <c r="Q179">
        <v>0</v>
      </c>
      <c r="R179" s="56">
        <v>64.959999999999994</v>
      </c>
      <c r="S179" s="56">
        <v>71.430000000000007</v>
      </c>
      <c r="T179">
        <v>396005213</v>
      </c>
      <c r="U179">
        <v>401110080</v>
      </c>
      <c r="V179">
        <v>861.1</v>
      </c>
      <c r="W179">
        <v>5</v>
      </c>
    </row>
    <row r="180" spans="1:23" x14ac:dyDescent="0.55000000000000004">
      <c r="A180" s="1">
        <v>11</v>
      </c>
      <c r="B180" s="1">
        <v>63</v>
      </c>
      <c r="C180" s="1">
        <v>4212</v>
      </c>
      <c r="D180" t="s">
        <v>181</v>
      </c>
      <c r="E180">
        <v>287.39999999999998</v>
      </c>
      <c r="F180">
        <v>2</v>
      </c>
      <c r="G180">
        <v>7988</v>
      </c>
      <c r="H180" s="38">
        <v>2295751</v>
      </c>
      <c r="I180" s="38">
        <v>0</v>
      </c>
      <c r="J180">
        <v>1568.49</v>
      </c>
      <c r="K180">
        <v>0</v>
      </c>
      <c r="L180">
        <v>81.28</v>
      </c>
      <c r="M180">
        <v>0</v>
      </c>
      <c r="N180">
        <v>95.57</v>
      </c>
      <c r="O180">
        <v>0</v>
      </c>
      <c r="P180">
        <v>385.29</v>
      </c>
      <c r="Q180">
        <v>0</v>
      </c>
      <c r="R180" s="56">
        <v>64.86</v>
      </c>
      <c r="S180" s="56">
        <v>71.28</v>
      </c>
      <c r="T180">
        <v>97334487</v>
      </c>
      <c r="U180">
        <v>97334487</v>
      </c>
      <c r="V180">
        <v>291.2</v>
      </c>
      <c r="W180">
        <v>0</v>
      </c>
    </row>
    <row r="181" spans="1:23" x14ac:dyDescent="0.55000000000000004">
      <c r="A181" s="1">
        <v>10</v>
      </c>
      <c r="B181" s="1">
        <v>92</v>
      </c>
      <c r="C181" s="1">
        <v>4271</v>
      </c>
      <c r="D181" t="s">
        <v>182</v>
      </c>
      <c r="E181">
        <v>1154.5999999999999</v>
      </c>
      <c r="F181">
        <v>145</v>
      </c>
      <c r="G181">
        <v>7988</v>
      </c>
      <c r="H181" s="38">
        <v>9222945</v>
      </c>
      <c r="I181" s="38">
        <v>215532</v>
      </c>
      <c r="J181">
        <v>1032.51</v>
      </c>
      <c r="K181">
        <v>0</v>
      </c>
      <c r="L181">
        <v>76.83</v>
      </c>
      <c r="M181">
        <v>0</v>
      </c>
      <c r="N181">
        <v>79.760000000000005</v>
      </c>
      <c r="O181">
        <v>0</v>
      </c>
      <c r="P181">
        <v>385.29</v>
      </c>
      <c r="Q181">
        <v>0</v>
      </c>
      <c r="R181" s="56">
        <v>64.98</v>
      </c>
      <c r="S181" s="56">
        <v>71.459999999999994</v>
      </c>
      <c r="T181">
        <v>628130252</v>
      </c>
      <c r="U181">
        <v>640744369</v>
      </c>
      <c r="V181">
        <v>1150.0999999999999</v>
      </c>
      <c r="W181">
        <v>173</v>
      </c>
    </row>
    <row r="182" spans="1:23" x14ac:dyDescent="0.55000000000000004">
      <c r="A182" s="1">
        <v>10</v>
      </c>
      <c r="B182" s="1">
        <v>53</v>
      </c>
      <c r="C182" s="1">
        <v>4269</v>
      </c>
      <c r="D182" t="s">
        <v>183</v>
      </c>
      <c r="E182">
        <v>493.7</v>
      </c>
      <c r="F182">
        <v>4</v>
      </c>
      <c r="G182">
        <v>8037</v>
      </c>
      <c r="H182" s="38">
        <v>3967867</v>
      </c>
      <c r="I182" s="38">
        <v>0</v>
      </c>
      <c r="J182">
        <v>1012.28</v>
      </c>
      <c r="K182">
        <v>0</v>
      </c>
      <c r="L182">
        <v>74.12</v>
      </c>
      <c r="M182">
        <v>0</v>
      </c>
      <c r="N182">
        <v>78.94</v>
      </c>
      <c r="O182">
        <v>0</v>
      </c>
      <c r="P182">
        <v>385.29</v>
      </c>
      <c r="Q182">
        <v>0</v>
      </c>
      <c r="R182" s="56">
        <v>64.98</v>
      </c>
      <c r="S182" s="56">
        <v>71.459999999999994</v>
      </c>
      <c r="T182">
        <v>307232677</v>
      </c>
      <c r="U182">
        <v>307713974</v>
      </c>
      <c r="V182">
        <v>478.5</v>
      </c>
      <c r="W182">
        <v>5</v>
      </c>
    </row>
    <row r="183" spans="1:23" x14ac:dyDescent="0.55000000000000004">
      <c r="A183" s="1">
        <v>13</v>
      </c>
      <c r="B183" s="1">
        <v>43</v>
      </c>
      <c r="C183" s="1">
        <v>4356</v>
      </c>
      <c r="D183" t="s">
        <v>184</v>
      </c>
      <c r="E183">
        <v>732.6</v>
      </c>
      <c r="F183">
        <v>2</v>
      </c>
      <c r="G183">
        <v>7988</v>
      </c>
      <c r="H183" s="38">
        <v>5852009</v>
      </c>
      <c r="I183" s="38">
        <v>0</v>
      </c>
      <c r="J183">
        <v>1090.43</v>
      </c>
      <c r="K183">
        <v>0</v>
      </c>
      <c r="L183">
        <v>67.3</v>
      </c>
      <c r="M183">
        <v>0</v>
      </c>
      <c r="N183">
        <v>78.290000000000006</v>
      </c>
      <c r="O183">
        <v>0</v>
      </c>
      <c r="P183">
        <v>385.29</v>
      </c>
      <c r="Q183">
        <v>0</v>
      </c>
      <c r="R183" s="56">
        <v>64.989999999999995</v>
      </c>
      <c r="S183" s="56">
        <v>71.86</v>
      </c>
      <c r="T183">
        <v>382914347</v>
      </c>
      <c r="U183">
        <v>382914347</v>
      </c>
      <c r="V183">
        <v>713.3</v>
      </c>
      <c r="W183">
        <v>8</v>
      </c>
    </row>
    <row r="184" spans="1:23" x14ac:dyDescent="0.55000000000000004">
      <c r="A184" s="1">
        <v>12</v>
      </c>
      <c r="B184" s="1">
        <v>84</v>
      </c>
      <c r="C184" s="1">
        <v>4149</v>
      </c>
      <c r="D184" t="s">
        <v>185</v>
      </c>
      <c r="E184">
        <v>1529.5</v>
      </c>
      <c r="F184">
        <v>481</v>
      </c>
      <c r="G184">
        <v>7988</v>
      </c>
      <c r="H184" s="38">
        <v>12217646</v>
      </c>
      <c r="I184" s="38">
        <v>0</v>
      </c>
      <c r="J184">
        <v>748.99</v>
      </c>
      <c r="K184">
        <v>0</v>
      </c>
      <c r="L184">
        <v>80.099999999999994</v>
      </c>
      <c r="M184">
        <v>0</v>
      </c>
      <c r="N184">
        <v>78.69</v>
      </c>
      <c r="O184">
        <v>0</v>
      </c>
      <c r="P184">
        <v>385.29</v>
      </c>
      <c r="Q184">
        <v>0</v>
      </c>
      <c r="R184" s="56">
        <v>65.27</v>
      </c>
      <c r="S184" s="56">
        <v>73.06</v>
      </c>
      <c r="T184">
        <v>895344023</v>
      </c>
      <c r="U184">
        <v>905539876</v>
      </c>
      <c r="V184">
        <v>1491.6</v>
      </c>
      <c r="W184">
        <v>544</v>
      </c>
    </row>
    <row r="185" spans="1:23" x14ac:dyDescent="0.55000000000000004">
      <c r="A185" s="1">
        <v>7</v>
      </c>
      <c r="B185" s="1">
        <v>79</v>
      </c>
      <c r="C185" s="1">
        <v>4437</v>
      </c>
      <c r="D185" t="s">
        <v>186</v>
      </c>
      <c r="E185">
        <v>454.4</v>
      </c>
      <c r="F185">
        <v>0</v>
      </c>
      <c r="G185">
        <v>7988</v>
      </c>
      <c r="H185" s="38">
        <v>3629747</v>
      </c>
      <c r="I185" s="38">
        <v>51267</v>
      </c>
      <c r="J185">
        <v>1229.97</v>
      </c>
      <c r="K185">
        <v>0</v>
      </c>
      <c r="L185">
        <v>65.47</v>
      </c>
      <c r="M185">
        <v>32</v>
      </c>
      <c r="N185">
        <v>83.57</v>
      </c>
      <c r="O185">
        <v>171</v>
      </c>
      <c r="P185">
        <v>385.29</v>
      </c>
      <c r="Q185">
        <v>838</v>
      </c>
      <c r="R185" s="56">
        <v>65.290000000000006</v>
      </c>
      <c r="S185" s="56">
        <v>72.78</v>
      </c>
      <c r="T185">
        <v>488442591</v>
      </c>
      <c r="U185">
        <v>522697898</v>
      </c>
      <c r="V185">
        <v>447.9</v>
      </c>
      <c r="W185">
        <v>7</v>
      </c>
    </row>
    <row r="186" spans="1:23" x14ac:dyDescent="0.55000000000000004">
      <c r="A186" s="1">
        <v>10</v>
      </c>
      <c r="B186" s="1">
        <v>53</v>
      </c>
      <c r="C186" s="1">
        <v>4446</v>
      </c>
      <c r="D186" t="s">
        <v>187</v>
      </c>
      <c r="E186">
        <v>967.6</v>
      </c>
      <c r="F186">
        <v>41</v>
      </c>
      <c r="G186">
        <v>7988</v>
      </c>
      <c r="H186" s="38">
        <v>7729189</v>
      </c>
      <c r="I186" s="38">
        <v>0</v>
      </c>
      <c r="J186">
        <v>1035.03</v>
      </c>
      <c r="K186">
        <v>0</v>
      </c>
      <c r="L186">
        <v>69.03</v>
      </c>
      <c r="M186">
        <v>0</v>
      </c>
      <c r="N186">
        <v>74.77</v>
      </c>
      <c r="O186">
        <v>0</v>
      </c>
      <c r="P186">
        <v>385.29</v>
      </c>
      <c r="Q186">
        <v>0</v>
      </c>
      <c r="R186" s="56">
        <v>64.98</v>
      </c>
      <c r="S186" s="56">
        <v>71.459999999999994</v>
      </c>
      <c r="T186">
        <v>438298654</v>
      </c>
      <c r="U186">
        <v>462557920</v>
      </c>
      <c r="V186">
        <v>952.2</v>
      </c>
      <c r="W186">
        <v>42</v>
      </c>
    </row>
    <row r="187" spans="1:23" x14ac:dyDescent="0.55000000000000004">
      <c r="A187" s="1">
        <v>15</v>
      </c>
      <c r="B187" s="1">
        <v>4</v>
      </c>
      <c r="C187" s="1">
        <v>4491</v>
      </c>
      <c r="D187" t="s">
        <v>188</v>
      </c>
      <c r="E187">
        <v>304.39999999999998</v>
      </c>
      <c r="F187">
        <v>0</v>
      </c>
      <c r="G187">
        <v>7988</v>
      </c>
      <c r="H187" s="38">
        <v>2431547</v>
      </c>
      <c r="I187" s="38">
        <v>97025</v>
      </c>
      <c r="J187">
        <v>1608.83</v>
      </c>
      <c r="K187">
        <v>0</v>
      </c>
      <c r="L187">
        <v>86.95</v>
      </c>
      <c r="M187">
        <v>861</v>
      </c>
      <c r="N187">
        <v>96.47</v>
      </c>
      <c r="O187">
        <v>965</v>
      </c>
      <c r="P187">
        <v>385.29</v>
      </c>
      <c r="Q187">
        <v>3557</v>
      </c>
      <c r="R187" s="56">
        <v>64.959999999999994</v>
      </c>
      <c r="S187" s="56">
        <v>71.430000000000007</v>
      </c>
      <c r="T187">
        <v>170249126</v>
      </c>
      <c r="U187">
        <v>182740412</v>
      </c>
      <c r="V187">
        <v>301.10000000000002</v>
      </c>
      <c r="W187">
        <v>0</v>
      </c>
    </row>
    <row r="188" spans="1:23" x14ac:dyDescent="0.55000000000000004">
      <c r="A188" s="1">
        <v>13</v>
      </c>
      <c r="B188" s="1">
        <v>93</v>
      </c>
      <c r="C188" s="1">
        <v>4505</v>
      </c>
      <c r="D188" t="s">
        <v>189</v>
      </c>
      <c r="E188">
        <v>206.4</v>
      </c>
      <c r="F188">
        <v>0</v>
      </c>
      <c r="G188">
        <v>8022</v>
      </c>
      <c r="H188" s="38">
        <v>1655741</v>
      </c>
      <c r="I188" s="38">
        <v>102189</v>
      </c>
      <c r="J188">
        <v>2149.29</v>
      </c>
      <c r="K188">
        <v>0</v>
      </c>
      <c r="L188">
        <v>66.37</v>
      </c>
      <c r="M188">
        <v>652</v>
      </c>
      <c r="N188">
        <v>82.43</v>
      </c>
      <c r="O188">
        <v>860</v>
      </c>
      <c r="P188">
        <v>385.29</v>
      </c>
      <c r="Q188">
        <v>4070</v>
      </c>
      <c r="R188" s="56">
        <v>64.989999999999995</v>
      </c>
      <c r="S188" s="56">
        <v>71.86</v>
      </c>
      <c r="T188">
        <v>123143886</v>
      </c>
      <c r="U188">
        <v>123143886</v>
      </c>
      <c r="V188">
        <v>210.9</v>
      </c>
      <c r="W188">
        <v>0</v>
      </c>
    </row>
    <row r="189" spans="1:23" x14ac:dyDescent="0.55000000000000004">
      <c r="A189" s="1">
        <v>15</v>
      </c>
      <c r="B189" s="1">
        <v>58</v>
      </c>
      <c r="C189" s="1">
        <v>4509</v>
      </c>
      <c r="D189" t="s">
        <v>190</v>
      </c>
      <c r="E189">
        <v>191</v>
      </c>
      <c r="F189">
        <v>0</v>
      </c>
      <c r="G189">
        <v>7988</v>
      </c>
      <c r="H189" s="38">
        <v>1525708</v>
      </c>
      <c r="I189" s="38">
        <v>47240</v>
      </c>
      <c r="J189">
        <v>1217.6600000000001</v>
      </c>
      <c r="K189">
        <v>7071</v>
      </c>
      <c r="L189">
        <v>77.180000000000007</v>
      </c>
      <c r="M189">
        <v>315</v>
      </c>
      <c r="N189">
        <v>99.93</v>
      </c>
      <c r="O189">
        <v>469</v>
      </c>
      <c r="P189">
        <v>385.29</v>
      </c>
      <c r="Q189">
        <v>1580</v>
      </c>
      <c r="R189" s="56">
        <v>64.959999999999994</v>
      </c>
      <c r="S189" s="56">
        <v>71.430000000000007</v>
      </c>
      <c r="T189">
        <v>81407661</v>
      </c>
      <c r="U189">
        <v>81407661</v>
      </c>
      <c r="V189">
        <v>194</v>
      </c>
      <c r="W189">
        <v>0</v>
      </c>
    </row>
    <row r="190" spans="1:23" x14ac:dyDescent="0.55000000000000004">
      <c r="A190" s="1">
        <v>15</v>
      </c>
      <c r="B190" s="1">
        <v>4</v>
      </c>
      <c r="C190" s="1">
        <v>4518</v>
      </c>
      <c r="D190" t="s">
        <v>191</v>
      </c>
      <c r="E190">
        <v>203.8</v>
      </c>
      <c r="F190">
        <v>0</v>
      </c>
      <c r="G190">
        <v>7988</v>
      </c>
      <c r="H190" s="38">
        <v>1627954</v>
      </c>
      <c r="I190" s="38">
        <v>0</v>
      </c>
      <c r="J190">
        <v>1563.29</v>
      </c>
      <c r="K190">
        <v>0</v>
      </c>
      <c r="L190">
        <v>78.5</v>
      </c>
      <c r="M190">
        <v>0</v>
      </c>
      <c r="N190">
        <v>87.79</v>
      </c>
      <c r="O190">
        <v>0</v>
      </c>
      <c r="P190">
        <v>385.29</v>
      </c>
      <c r="Q190">
        <v>0</v>
      </c>
      <c r="R190" s="56">
        <v>64.959999999999994</v>
      </c>
      <c r="S190" s="56">
        <v>71.430000000000007</v>
      </c>
      <c r="T190">
        <v>106000119</v>
      </c>
      <c r="U190">
        <v>117060928</v>
      </c>
      <c r="V190">
        <v>201</v>
      </c>
      <c r="W190">
        <v>0</v>
      </c>
    </row>
    <row r="191" spans="1:23" x14ac:dyDescent="0.55000000000000004">
      <c r="A191" s="1">
        <v>13</v>
      </c>
      <c r="B191" s="1">
        <v>80</v>
      </c>
      <c r="C191" s="1">
        <v>4527</v>
      </c>
      <c r="D191" t="s">
        <v>192</v>
      </c>
      <c r="E191">
        <v>587.29999999999995</v>
      </c>
      <c r="F191">
        <v>0</v>
      </c>
      <c r="G191">
        <v>7988</v>
      </c>
      <c r="H191" s="38">
        <v>4691352</v>
      </c>
      <c r="I191" s="38">
        <v>38557</v>
      </c>
      <c r="J191">
        <v>1104.3800000000001</v>
      </c>
      <c r="K191">
        <v>0</v>
      </c>
      <c r="L191">
        <v>93.81</v>
      </c>
      <c r="M191">
        <v>131</v>
      </c>
      <c r="N191">
        <v>89.15</v>
      </c>
      <c r="O191">
        <v>0</v>
      </c>
      <c r="P191">
        <v>385.29</v>
      </c>
      <c r="Q191">
        <v>0</v>
      </c>
      <c r="R191" s="56">
        <v>64.989999999999995</v>
      </c>
      <c r="S191" s="56">
        <v>71.86</v>
      </c>
      <c r="T191">
        <v>383373279</v>
      </c>
      <c r="U191">
        <v>427984386</v>
      </c>
      <c r="V191">
        <v>562.5</v>
      </c>
      <c r="W191">
        <v>0</v>
      </c>
    </row>
    <row r="192" spans="1:23" x14ac:dyDescent="0.55000000000000004">
      <c r="A192" s="1">
        <v>15</v>
      </c>
      <c r="B192" s="1">
        <v>44</v>
      </c>
      <c r="C192" s="1">
        <v>4536</v>
      </c>
      <c r="D192" t="s">
        <v>193</v>
      </c>
      <c r="E192">
        <v>1757.1</v>
      </c>
      <c r="F192">
        <v>7</v>
      </c>
      <c r="G192">
        <v>7988</v>
      </c>
      <c r="H192" s="38">
        <v>14035715</v>
      </c>
      <c r="I192" s="38">
        <v>0</v>
      </c>
      <c r="J192">
        <v>819.63</v>
      </c>
      <c r="K192">
        <v>0</v>
      </c>
      <c r="L192">
        <v>79.930000000000007</v>
      </c>
      <c r="M192">
        <v>0</v>
      </c>
      <c r="N192">
        <v>88.89</v>
      </c>
      <c r="O192">
        <v>0</v>
      </c>
      <c r="P192">
        <v>385.29</v>
      </c>
      <c r="Q192">
        <v>0</v>
      </c>
      <c r="R192" s="56">
        <v>64.959999999999994</v>
      </c>
      <c r="S192" s="56">
        <v>71.430000000000007</v>
      </c>
      <c r="T192">
        <v>670420129</v>
      </c>
      <c r="U192">
        <v>689905135</v>
      </c>
      <c r="V192">
        <v>1705.2</v>
      </c>
      <c r="W192">
        <v>23</v>
      </c>
    </row>
    <row r="193" spans="1:23" x14ac:dyDescent="0.55000000000000004">
      <c r="A193" s="1">
        <v>10</v>
      </c>
      <c r="B193" s="1">
        <v>57</v>
      </c>
      <c r="C193" s="1">
        <v>4554</v>
      </c>
      <c r="D193" t="s">
        <v>194</v>
      </c>
      <c r="E193">
        <v>1080.3</v>
      </c>
      <c r="F193">
        <v>21</v>
      </c>
      <c r="G193">
        <v>7988</v>
      </c>
      <c r="H193" s="38">
        <v>8629436</v>
      </c>
      <c r="I193" s="38">
        <v>46280</v>
      </c>
      <c r="J193">
        <v>855.07</v>
      </c>
      <c r="K193">
        <v>0</v>
      </c>
      <c r="L193">
        <v>78</v>
      </c>
      <c r="M193">
        <v>0</v>
      </c>
      <c r="N193">
        <v>84.79</v>
      </c>
      <c r="O193">
        <v>0</v>
      </c>
      <c r="P193">
        <v>385.29</v>
      </c>
      <c r="Q193">
        <v>0</v>
      </c>
      <c r="R193" s="56">
        <v>64.98</v>
      </c>
      <c r="S193" s="56">
        <v>71.459999999999994</v>
      </c>
      <c r="T193">
        <v>382842762</v>
      </c>
      <c r="U193">
        <v>434439749</v>
      </c>
      <c r="V193">
        <v>1085.0999999999999</v>
      </c>
      <c r="W193">
        <v>54</v>
      </c>
    </row>
    <row r="194" spans="1:23" x14ac:dyDescent="0.55000000000000004">
      <c r="A194" s="1">
        <v>13</v>
      </c>
      <c r="B194" s="1">
        <v>20</v>
      </c>
      <c r="C194" s="1">
        <v>4572</v>
      </c>
      <c r="D194" t="s">
        <v>195</v>
      </c>
      <c r="E194">
        <v>219.4</v>
      </c>
      <c r="F194">
        <v>0</v>
      </c>
      <c r="G194">
        <v>7988</v>
      </c>
      <c r="H194" s="38">
        <v>1752567</v>
      </c>
      <c r="I194" s="38">
        <v>0</v>
      </c>
      <c r="J194">
        <v>1555.74</v>
      </c>
      <c r="K194">
        <v>0</v>
      </c>
      <c r="L194">
        <v>80.209999999999994</v>
      </c>
      <c r="M194">
        <v>0</v>
      </c>
      <c r="N194">
        <v>96.62</v>
      </c>
      <c r="O194">
        <v>0</v>
      </c>
      <c r="P194">
        <v>385.29</v>
      </c>
      <c r="Q194">
        <v>0</v>
      </c>
      <c r="R194" s="56">
        <v>64.989999999999995</v>
      </c>
      <c r="S194" s="56">
        <v>71.86</v>
      </c>
      <c r="T194">
        <v>89461745</v>
      </c>
      <c r="U194">
        <v>89461745</v>
      </c>
      <c r="V194">
        <v>213.3</v>
      </c>
      <c r="W194">
        <v>1</v>
      </c>
    </row>
    <row r="195" spans="1:23" x14ac:dyDescent="0.55000000000000004">
      <c r="A195" s="1">
        <v>9</v>
      </c>
      <c r="B195" s="1">
        <v>70</v>
      </c>
      <c r="C195" s="1">
        <v>4581</v>
      </c>
      <c r="D195" t="s">
        <v>196</v>
      </c>
      <c r="E195">
        <v>4315.8999999999996</v>
      </c>
      <c r="F195">
        <v>201</v>
      </c>
      <c r="G195">
        <v>7988</v>
      </c>
      <c r="H195" s="38">
        <v>34475409</v>
      </c>
      <c r="I195" s="38">
        <v>483552</v>
      </c>
      <c r="J195">
        <v>821.05</v>
      </c>
      <c r="K195">
        <v>0</v>
      </c>
      <c r="L195">
        <v>73.87</v>
      </c>
      <c r="M195">
        <v>0</v>
      </c>
      <c r="N195">
        <v>88.97</v>
      </c>
      <c r="O195">
        <v>0</v>
      </c>
      <c r="P195">
        <v>385.29</v>
      </c>
      <c r="Q195">
        <v>0</v>
      </c>
      <c r="R195" s="56">
        <v>64.8</v>
      </c>
      <c r="S195" s="56">
        <v>70.86</v>
      </c>
      <c r="T195">
        <v>1580081839</v>
      </c>
      <c r="U195">
        <v>1649633967</v>
      </c>
      <c r="V195">
        <v>4239.3</v>
      </c>
      <c r="W195">
        <v>278</v>
      </c>
    </row>
    <row r="196" spans="1:23" x14ac:dyDescent="0.55000000000000004">
      <c r="A196" s="1">
        <v>7</v>
      </c>
      <c r="B196" s="1">
        <v>19</v>
      </c>
      <c r="C196" s="1">
        <v>4599</v>
      </c>
      <c r="D196" t="s">
        <v>197</v>
      </c>
      <c r="E196">
        <v>573.6</v>
      </c>
      <c r="F196">
        <v>9</v>
      </c>
      <c r="G196">
        <v>8060</v>
      </c>
      <c r="H196" s="38">
        <v>4623216</v>
      </c>
      <c r="I196" s="38">
        <v>116513</v>
      </c>
      <c r="J196">
        <v>980.15</v>
      </c>
      <c r="K196">
        <v>0</v>
      </c>
      <c r="L196">
        <v>76.25</v>
      </c>
      <c r="M196">
        <v>400</v>
      </c>
      <c r="N196">
        <v>69.47</v>
      </c>
      <c r="O196">
        <v>199</v>
      </c>
      <c r="P196">
        <v>385.29</v>
      </c>
      <c r="Q196">
        <v>2098</v>
      </c>
      <c r="R196" s="56">
        <v>65.290000000000006</v>
      </c>
      <c r="S196" s="56">
        <v>72.78</v>
      </c>
      <c r="T196">
        <v>307304857</v>
      </c>
      <c r="U196">
        <v>307304857</v>
      </c>
      <c r="V196">
        <v>583.6</v>
      </c>
      <c r="W196">
        <v>11</v>
      </c>
    </row>
    <row r="197" spans="1:23" x14ac:dyDescent="0.55000000000000004">
      <c r="A197" s="1">
        <v>11</v>
      </c>
      <c r="B197" s="1">
        <v>85</v>
      </c>
      <c r="C197" s="1">
        <v>4617</v>
      </c>
      <c r="D197" t="s">
        <v>198</v>
      </c>
      <c r="E197">
        <v>1398.9</v>
      </c>
      <c r="F197">
        <v>6</v>
      </c>
      <c r="G197">
        <v>7988</v>
      </c>
      <c r="H197" s="38">
        <v>11174413</v>
      </c>
      <c r="I197" s="38">
        <v>0</v>
      </c>
      <c r="J197">
        <v>866.23</v>
      </c>
      <c r="K197">
        <v>0</v>
      </c>
      <c r="L197">
        <v>81.77</v>
      </c>
      <c r="M197">
        <v>0</v>
      </c>
      <c r="N197">
        <v>91.45</v>
      </c>
      <c r="O197">
        <v>0</v>
      </c>
      <c r="P197">
        <v>385.29</v>
      </c>
      <c r="Q197">
        <v>0</v>
      </c>
      <c r="R197" s="56">
        <v>64.86</v>
      </c>
      <c r="S197" s="56">
        <v>71.28</v>
      </c>
      <c r="T197">
        <v>601595862</v>
      </c>
      <c r="U197">
        <v>647900585</v>
      </c>
      <c r="V197">
        <v>1350.3</v>
      </c>
      <c r="W197">
        <v>21</v>
      </c>
    </row>
    <row r="198" spans="1:23" x14ac:dyDescent="0.55000000000000004">
      <c r="A198" s="1">
        <v>1</v>
      </c>
      <c r="B198" s="1">
        <v>19</v>
      </c>
      <c r="C198" s="1">
        <v>4662</v>
      </c>
      <c r="D198" t="s">
        <v>199</v>
      </c>
      <c r="E198">
        <v>992.8</v>
      </c>
      <c r="F198">
        <v>57</v>
      </c>
      <c r="G198">
        <v>7988</v>
      </c>
      <c r="H198" s="38">
        <v>7930486</v>
      </c>
      <c r="I198" s="38">
        <v>0</v>
      </c>
      <c r="J198">
        <v>944.64</v>
      </c>
      <c r="K198">
        <v>0</v>
      </c>
      <c r="L198">
        <v>76.7</v>
      </c>
      <c r="M198">
        <v>0</v>
      </c>
      <c r="N198">
        <v>65.97</v>
      </c>
      <c r="O198">
        <v>0</v>
      </c>
      <c r="P198">
        <v>385.29</v>
      </c>
      <c r="Q198">
        <v>0</v>
      </c>
      <c r="R198" s="56">
        <v>65.260000000000005</v>
      </c>
      <c r="S198" s="56">
        <v>72.69</v>
      </c>
      <c r="T198">
        <v>588264154</v>
      </c>
      <c r="U198">
        <v>604568292</v>
      </c>
      <c r="V198">
        <v>979.3</v>
      </c>
      <c r="W198">
        <v>69</v>
      </c>
    </row>
    <row r="199" spans="1:23" x14ac:dyDescent="0.55000000000000004">
      <c r="A199" s="1">
        <v>15</v>
      </c>
      <c r="B199" s="1">
        <v>44</v>
      </c>
      <c r="C199" s="1">
        <v>4689</v>
      </c>
      <c r="D199" t="s">
        <v>200</v>
      </c>
      <c r="E199">
        <v>544.9</v>
      </c>
      <c r="F199">
        <v>7</v>
      </c>
      <c r="G199">
        <v>7988</v>
      </c>
      <c r="H199" s="38">
        <v>4352661</v>
      </c>
      <c r="I199" s="38">
        <v>0</v>
      </c>
      <c r="J199">
        <v>996.25</v>
      </c>
      <c r="K199">
        <v>0</v>
      </c>
      <c r="L199">
        <v>75.11</v>
      </c>
      <c r="M199">
        <v>0</v>
      </c>
      <c r="N199">
        <v>84.52</v>
      </c>
      <c r="O199">
        <v>0</v>
      </c>
      <c r="P199">
        <v>385.29</v>
      </c>
      <c r="Q199">
        <v>0</v>
      </c>
      <c r="R199" s="56">
        <v>64.959999999999994</v>
      </c>
      <c r="S199" s="56">
        <v>71.430000000000007</v>
      </c>
      <c r="T199">
        <v>147313143</v>
      </c>
      <c r="U199">
        <v>148820736</v>
      </c>
      <c r="V199">
        <v>521.4</v>
      </c>
      <c r="W199">
        <v>19</v>
      </c>
    </row>
    <row r="200" spans="1:23" x14ac:dyDescent="0.55000000000000004">
      <c r="A200" s="1">
        <v>5</v>
      </c>
      <c r="B200" s="1">
        <v>11</v>
      </c>
      <c r="C200" s="1">
        <v>4644</v>
      </c>
      <c r="D200" t="s">
        <v>201</v>
      </c>
      <c r="E200">
        <v>451.9</v>
      </c>
      <c r="F200">
        <v>13</v>
      </c>
      <c r="G200">
        <v>8037</v>
      </c>
      <c r="H200" s="38">
        <v>3631920</v>
      </c>
      <c r="I200" s="38">
        <v>160448</v>
      </c>
      <c r="J200">
        <v>1275.57</v>
      </c>
      <c r="K200">
        <v>0</v>
      </c>
      <c r="L200">
        <v>74.89</v>
      </c>
      <c r="M200">
        <v>365</v>
      </c>
      <c r="N200">
        <v>88.77</v>
      </c>
      <c r="O200">
        <v>500</v>
      </c>
      <c r="P200">
        <v>385.29</v>
      </c>
      <c r="Q200">
        <v>2005</v>
      </c>
      <c r="R200" s="56">
        <v>65.34</v>
      </c>
      <c r="S200" s="56">
        <v>73.16</v>
      </c>
      <c r="T200">
        <v>355601589</v>
      </c>
      <c r="U200">
        <v>356558173</v>
      </c>
      <c r="V200">
        <v>429.7</v>
      </c>
      <c r="W200">
        <v>11</v>
      </c>
    </row>
    <row r="201" spans="1:23" x14ac:dyDescent="0.55000000000000004">
      <c r="A201" s="1">
        <v>11</v>
      </c>
      <c r="B201" s="1">
        <v>50</v>
      </c>
      <c r="C201" s="1">
        <v>4725</v>
      </c>
      <c r="D201" t="s">
        <v>202</v>
      </c>
      <c r="E201">
        <v>2843.8</v>
      </c>
      <c r="F201">
        <v>100</v>
      </c>
      <c r="G201">
        <v>7988</v>
      </c>
      <c r="H201" s="38">
        <v>22716274</v>
      </c>
      <c r="I201" s="38">
        <v>298560</v>
      </c>
      <c r="J201">
        <v>763.71</v>
      </c>
      <c r="K201">
        <v>0</v>
      </c>
      <c r="L201">
        <v>75.16</v>
      </c>
      <c r="M201">
        <v>0</v>
      </c>
      <c r="N201">
        <v>87.02</v>
      </c>
      <c r="O201">
        <v>0</v>
      </c>
      <c r="P201">
        <v>385.29</v>
      </c>
      <c r="Q201">
        <v>0</v>
      </c>
      <c r="R201" s="56">
        <v>64.86</v>
      </c>
      <c r="S201" s="56">
        <v>71.28</v>
      </c>
      <c r="T201">
        <v>983350127</v>
      </c>
      <c r="U201">
        <v>1109807843</v>
      </c>
      <c r="V201">
        <v>2808.5</v>
      </c>
      <c r="W201">
        <v>108</v>
      </c>
    </row>
    <row r="202" spans="1:23" x14ac:dyDescent="0.55000000000000004">
      <c r="A202" s="1">
        <v>13</v>
      </c>
      <c r="B202" s="1">
        <v>1</v>
      </c>
      <c r="C202" s="1">
        <v>2673</v>
      </c>
      <c r="D202" t="s">
        <v>203</v>
      </c>
      <c r="E202">
        <v>635.1</v>
      </c>
      <c r="F202">
        <v>11</v>
      </c>
      <c r="G202">
        <v>7988</v>
      </c>
      <c r="H202" s="38">
        <v>5073179</v>
      </c>
      <c r="I202" s="38">
        <v>178962</v>
      </c>
      <c r="J202">
        <v>1306.57</v>
      </c>
      <c r="K202">
        <v>0</v>
      </c>
      <c r="L202">
        <v>82.65</v>
      </c>
      <c r="M202">
        <v>1306</v>
      </c>
      <c r="N202">
        <v>82.55</v>
      </c>
      <c r="O202">
        <v>1208</v>
      </c>
      <c r="P202">
        <v>385.29</v>
      </c>
      <c r="Q202">
        <v>5774</v>
      </c>
      <c r="R202" s="56">
        <v>64.989999999999995</v>
      </c>
      <c r="S202" s="56">
        <v>71.86</v>
      </c>
      <c r="T202">
        <v>327312718</v>
      </c>
      <c r="U202">
        <v>370567912</v>
      </c>
      <c r="V202">
        <v>656.7</v>
      </c>
      <c r="W202">
        <v>17</v>
      </c>
    </row>
    <row r="203" spans="1:23" x14ac:dyDescent="0.55000000000000004">
      <c r="A203" s="1">
        <v>7</v>
      </c>
      <c r="B203" s="1">
        <v>12</v>
      </c>
      <c r="C203" s="1">
        <v>153</v>
      </c>
      <c r="D203" t="s">
        <v>204</v>
      </c>
      <c r="E203">
        <v>522.9</v>
      </c>
      <c r="F203">
        <v>5</v>
      </c>
      <c r="G203">
        <v>8035</v>
      </c>
      <c r="H203" s="38">
        <v>4201502</v>
      </c>
      <c r="I203" s="38">
        <v>0</v>
      </c>
      <c r="J203">
        <v>1117.71</v>
      </c>
      <c r="K203">
        <v>0</v>
      </c>
      <c r="L203">
        <v>85.87</v>
      </c>
      <c r="M203">
        <v>0</v>
      </c>
      <c r="N203">
        <v>75.12</v>
      </c>
      <c r="O203">
        <v>0</v>
      </c>
      <c r="P203">
        <v>385.29</v>
      </c>
      <c r="Q203">
        <v>0</v>
      </c>
      <c r="R203" s="56">
        <v>65.290000000000006</v>
      </c>
      <c r="S203" s="56">
        <v>72.78</v>
      </c>
      <c r="T203">
        <v>320922685</v>
      </c>
      <c r="U203">
        <v>320922685</v>
      </c>
      <c r="V203">
        <v>504</v>
      </c>
      <c r="W203">
        <v>3</v>
      </c>
    </row>
    <row r="204" spans="1:23" x14ac:dyDescent="0.55000000000000004">
      <c r="A204" s="1">
        <v>10</v>
      </c>
      <c r="B204" s="1">
        <v>16</v>
      </c>
      <c r="C204" s="1">
        <v>3691</v>
      </c>
      <c r="D204" t="s">
        <v>205</v>
      </c>
      <c r="E204">
        <v>703.9</v>
      </c>
      <c r="F204">
        <v>3</v>
      </c>
      <c r="G204">
        <v>7989</v>
      </c>
      <c r="H204" s="38">
        <v>5623457</v>
      </c>
      <c r="I204" s="38">
        <v>0</v>
      </c>
      <c r="J204">
        <v>1483.9</v>
      </c>
      <c r="K204">
        <v>0</v>
      </c>
      <c r="L204">
        <v>73.760000000000005</v>
      </c>
      <c r="M204">
        <v>0</v>
      </c>
      <c r="N204">
        <v>73.31</v>
      </c>
      <c r="O204">
        <v>0</v>
      </c>
      <c r="P204">
        <v>385.29</v>
      </c>
      <c r="Q204">
        <v>0</v>
      </c>
      <c r="R204" s="56">
        <v>64.98</v>
      </c>
      <c r="S204" s="56">
        <v>71.459999999999994</v>
      </c>
      <c r="T204">
        <v>430257424</v>
      </c>
      <c r="U204">
        <v>430257424</v>
      </c>
      <c r="V204">
        <v>676.1</v>
      </c>
      <c r="W204">
        <v>1</v>
      </c>
    </row>
    <row r="205" spans="1:23" x14ac:dyDescent="0.55000000000000004">
      <c r="A205" s="1">
        <v>1</v>
      </c>
      <c r="B205" s="1">
        <v>33</v>
      </c>
      <c r="C205" s="1">
        <v>4774</v>
      </c>
      <c r="D205" t="s">
        <v>206</v>
      </c>
      <c r="E205">
        <v>1108.4000000000001</v>
      </c>
      <c r="F205">
        <v>2</v>
      </c>
      <c r="G205">
        <v>8037</v>
      </c>
      <c r="H205" s="38">
        <v>8908211</v>
      </c>
      <c r="I205" s="38">
        <v>0</v>
      </c>
      <c r="J205">
        <v>876.91</v>
      </c>
      <c r="K205">
        <v>0</v>
      </c>
      <c r="L205">
        <v>76.38</v>
      </c>
      <c r="M205">
        <v>0</v>
      </c>
      <c r="N205">
        <v>77.260000000000005</v>
      </c>
      <c r="O205">
        <v>0</v>
      </c>
      <c r="P205">
        <v>385.29</v>
      </c>
      <c r="Q205">
        <v>0</v>
      </c>
      <c r="R205" s="56">
        <v>65.260000000000005</v>
      </c>
      <c r="S205" s="56">
        <v>72.69</v>
      </c>
      <c r="T205">
        <v>537663774</v>
      </c>
      <c r="U205">
        <v>539771698</v>
      </c>
      <c r="V205">
        <v>1081.2</v>
      </c>
      <c r="W205">
        <v>3</v>
      </c>
    </row>
    <row r="206" spans="1:23" x14ac:dyDescent="0.55000000000000004">
      <c r="A206" s="1">
        <v>7</v>
      </c>
      <c r="B206" s="1">
        <v>95</v>
      </c>
      <c r="C206" s="1">
        <v>873</v>
      </c>
      <c r="D206" t="s">
        <v>207</v>
      </c>
      <c r="E206">
        <v>455.8</v>
      </c>
      <c r="F206">
        <v>0</v>
      </c>
      <c r="G206">
        <v>8057</v>
      </c>
      <c r="H206" s="38">
        <v>3672381</v>
      </c>
      <c r="I206" s="38">
        <v>92909</v>
      </c>
      <c r="J206">
        <v>1295.49</v>
      </c>
      <c r="K206">
        <v>0</v>
      </c>
      <c r="L206">
        <v>79.11</v>
      </c>
      <c r="M206">
        <v>557</v>
      </c>
      <c r="N206">
        <v>76.61</v>
      </c>
      <c r="O206">
        <v>450</v>
      </c>
      <c r="P206">
        <v>385.29</v>
      </c>
      <c r="Q206">
        <v>2641</v>
      </c>
      <c r="R206" s="56">
        <v>65.290000000000006</v>
      </c>
      <c r="S206" s="56">
        <v>72.78</v>
      </c>
      <c r="T206">
        <v>436238514</v>
      </c>
      <c r="U206">
        <v>532429943</v>
      </c>
      <c r="V206">
        <v>448.2</v>
      </c>
      <c r="W206">
        <v>0</v>
      </c>
    </row>
    <row r="207" spans="1:23" x14ac:dyDescent="0.55000000000000004">
      <c r="A207" s="1">
        <v>5</v>
      </c>
      <c r="B207" s="1">
        <v>55</v>
      </c>
      <c r="C207" s="1">
        <v>4778</v>
      </c>
      <c r="D207" t="s">
        <v>208</v>
      </c>
      <c r="E207">
        <v>231.5</v>
      </c>
      <c r="F207">
        <v>16</v>
      </c>
      <c r="G207">
        <v>7988</v>
      </c>
      <c r="H207" s="38">
        <v>1849222</v>
      </c>
      <c r="I207" s="38">
        <v>73586</v>
      </c>
      <c r="J207">
        <v>1468.2</v>
      </c>
      <c r="K207">
        <v>0</v>
      </c>
      <c r="L207">
        <v>78.73</v>
      </c>
      <c r="M207">
        <v>218</v>
      </c>
      <c r="N207">
        <v>72.61</v>
      </c>
      <c r="O207">
        <v>135</v>
      </c>
      <c r="P207">
        <v>385.29</v>
      </c>
      <c r="Q207">
        <v>1040</v>
      </c>
      <c r="R207" s="56">
        <v>65.34</v>
      </c>
      <c r="S207" s="56">
        <v>73.16</v>
      </c>
      <c r="T207">
        <v>337177049</v>
      </c>
      <c r="U207">
        <v>337177049</v>
      </c>
      <c r="V207">
        <v>225.1</v>
      </c>
      <c r="W207">
        <v>24</v>
      </c>
    </row>
    <row r="208" spans="1:23" x14ac:dyDescent="0.55000000000000004">
      <c r="A208" s="1">
        <v>10</v>
      </c>
      <c r="B208" s="1">
        <v>57</v>
      </c>
      <c r="C208" s="1">
        <v>4777</v>
      </c>
      <c r="D208" t="s">
        <v>209</v>
      </c>
      <c r="E208">
        <v>558.5</v>
      </c>
      <c r="F208">
        <v>4</v>
      </c>
      <c r="G208">
        <v>7997</v>
      </c>
      <c r="H208" s="38">
        <v>4466325</v>
      </c>
      <c r="I208" s="38">
        <v>0</v>
      </c>
      <c r="J208">
        <v>960.11</v>
      </c>
      <c r="K208">
        <v>0</v>
      </c>
      <c r="L208">
        <v>71.400000000000006</v>
      </c>
      <c r="M208">
        <v>0</v>
      </c>
      <c r="N208">
        <v>72.239999999999995</v>
      </c>
      <c r="O208">
        <v>0</v>
      </c>
      <c r="P208">
        <v>385.29</v>
      </c>
      <c r="Q208">
        <v>0</v>
      </c>
      <c r="R208" s="56">
        <v>64.98</v>
      </c>
      <c r="S208" s="56">
        <v>71.459999999999994</v>
      </c>
      <c r="T208">
        <v>294148415</v>
      </c>
      <c r="U208">
        <v>294148415</v>
      </c>
      <c r="V208">
        <v>560.4</v>
      </c>
      <c r="W208">
        <v>5</v>
      </c>
    </row>
    <row r="209" spans="1:23" x14ac:dyDescent="0.55000000000000004">
      <c r="A209" s="1">
        <v>15</v>
      </c>
      <c r="B209" s="1">
        <v>62</v>
      </c>
      <c r="C209" s="1">
        <v>4776</v>
      </c>
      <c r="D209" t="s">
        <v>210</v>
      </c>
      <c r="E209">
        <v>471.6</v>
      </c>
      <c r="F209">
        <v>31</v>
      </c>
      <c r="G209">
        <v>8115</v>
      </c>
      <c r="H209" s="38">
        <v>3827034</v>
      </c>
      <c r="I209" s="38">
        <v>0</v>
      </c>
      <c r="J209">
        <v>1355.8</v>
      </c>
      <c r="K209">
        <v>0</v>
      </c>
      <c r="L209">
        <v>77.28</v>
      </c>
      <c r="M209">
        <v>0</v>
      </c>
      <c r="N209">
        <v>89.51</v>
      </c>
      <c r="O209">
        <v>0</v>
      </c>
      <c r="P209">
        <v>385.29</v>
      </c>
      <c r="Q209">
        <v>0</v>
      </c>
      <c r="R209" s="56">
        <v>64.959999999999994</v>
      </c>
      <c r="S209" s="56">
        <v>71.430000000000007</v>
      </c>
      <c r="T209">
        <v>320811389</v>
      </c>
      <c r="U209">
        <v>384301162</v>
      </c>
      <c r="V209">
        <v>439.6</v>
      </c>
      <c r="W209">
        <v>38</v>
      </c>
    </row>
    <row r="210" spans="1:23" x14ac:dyDescent="0.55000000000000004">
      <c r="A210" s="1">
        <v>11</v>
      </c>
      <c r="B210" s="1">
        <v>77</v>
      </c>
      <c r="C210" s="1">
        <v>4779</v>
      </c>
      <c r="D210" t="s">
        <v>211</v>
      </c>
      <c r="E210">
        <v>2191.6999999999998</v>
      </c>
      <c r="F210">
        <v>32</v>
      </c>
      <c r="G210">
        <v>7988</v>
      </c>
      <c r="H210" s="38">
        <v>17507300</v>
      </c>
      <c r="I210" s="38">
        <v>0</v>
      </c>
      <c r="J210">
        <v>787.85</v>
      </c>
      <c r="K210">
        <v>0</v>
      </c>
      <c r="L210">
        <v>67.959999999999994</v>
      </c>
      <c r="M210">
        <v>0</v>
      </c>
      <c r="N210">
        <v>68.19</v>
      </c>
      <c r="O210">
        <v>0</v>
      </c>
      <c r="P210">
        <v>385.29</v>
      </c>
      <c r="Q210">
        <v>0</v>
      </c>
      <c r="R210" s="56">
        <v>64.86</v>
      </c>
      <c r="S210" s="56">
        <v>71.28</v>
      </c>
      <c r="T210">
        <v>727152424</v>
      </c>
      <c r="U210">
        <v>815873090</v>
      </c>
      <c r="V210">
        <v>2156.9</v>
      </c>
      <c r="W210">
        <v>67</v>
      </c>
    </row>
    <row r="211" spans="1:23" x14ac:dyDescent="0.55000000000000004">
      <c r="A211" s="1">
        <v>9</v>
      </c>
      <c r="B211" s="1">
        <v>82</v>
      </c>
      <c r="C211" s="1">
        <v>4784</v>
      </c>
      <c r="D211" t="s">
        <v>212</v>
      </c>
      <c r="E211">
        <v>2991.3</v>
      </c>
      <c r="F211">
        <v>41</v>
      </c>
      <c r="G211">
        <v>7988</v>
      </c>
      <c r="H211" s="38">
        <v>23894504</v>
      </c>
      <c r="I211" s="38">
        <v>0</v>
      </c>
      <c r="J211">
        <v>790.76</v>
      </c>
      <c r="K211">
        <v>0</v>
      </c>
      <c r="L211">
        <v>75.819999999999993</v>
      </c>
      <c r="M211">
        <v>0</v>
      </c>
      <c r="N211">
        <v>74.569999999999993</v>
      </c>
      <c r="O211">
        <v>0</v>
      </c>
      <c r="P211">
        <v>385.29</v>
      </c>
      <c r="Q211">
        <v>0</v>
      </c>
      <c r="R211" s="56">
        <v>64.8</v>
      </c>
      <c r="S211" s="56">
        <v>70.86</v>
      </c>
      <c r="T211">
        <v>1563080725</v>
      </c>
      <c r="U211">
        <v>1694681807</v>
      </c>
      <c r="V211">
        <v>2928.1</v>
      </c>
      <c r="W211">
        <v>87</v>
      </c>
    </row>
    <row r="212" spans="1:23" x14ac:dyDescent="0.55000000000000004">
      <c r="A212" s="1">
        <v>7</v>
      </c>
      <c r="B212" s="1">
        <v>86</v>
      </c>
      <c r="C212" s="1">
        <v>4785</v>
      </c>
      <c r="D212" t="s">
        <v>213</v>
      </c>
      <c r="E212">
        <v>452.1</v>
      </c>
      <c r="F212">
        <v>2</v>
      </c>
      <c r="G212">
        <v>7988</v>
      </c>
      <c r="H212" s="38">
        <v>3611375</v>
      </c>
      <c r="I212" s="38">
        <v>0</v>
      </c>
      <c r="J212">
        <v>1223.49</v>
      </c>
      <c r="K212">
        <v>0</v>
      </c>
      <c r="L212">
        <v>80.53</v>
      </c>
      <c r="M212">
        <v>0</v>
      </c>
      <c r="N212">
        <v>77.86</v>
      </c>
      <c r="O212">
        <v>0</v>
      </c>
      <c r="P212">
        <v>385.29</v>
      </c>
      <c r="Q212">
        <v>0</v>
      </c>
      <c r="R212" s="56">
        <v>65.290000000000006</v>
      </c>
      <c r="S212" s="56">
        <v>72.78</v>
      </c>
      <c r="T212">
        <v>264205569</v>
      </c>
      <c r="U212">
        <v>264205569</v>
      </c>
      <c r="V212">
        <v>461.3</v>
      </c>
      <c r="W212">
        <v>6</v>
      </c>
    </row>
    <row r="213" spans="1:23" x14ac:dyDescent="0.55000000000000004">
      <c r="A213" s="1">
        <v>5</v>
      </c>
      <c r="B213" s="1">
        <v>32</v>
      </c>
      <c r="C213" s="1">
        <v>333</v>
      </c>
      <c r="D213" t="s">
        <v>214</v>
      </c>
      <c r="E213">
        <v>391</v>
      </c>
      <c r="F213">
        <v>11</v>
      </c>
      <c r="G213">
        <v>8018</v>
      </c>
      <c r="H213" s="38">
        <v>3135038</v>
      </c>
      <c r="I213" s="38">
        <v>16987</v>
      </c>
      <c r="J213">
        <v>1317.12</v>
      </c>
      <c r="K213">
        <v>0</v>
      </c>
      <c r="L213">
        <v>88.07</v>
      </c>
      <c r="M213">
        <v>0</v>
      </c>
      <c r="N213">
        <v>95.03</v>
      </c>
      <c r="O213">
        <v>0</v>
      </c>
      <c r="P213">
        <v>385.29</v>
      </c>
      <c r="Q213">
        <v>0</v>
      </c>
      <c r="R213" s="56">
        <v>65.34</v>
      </c>
      <c r="S213" s="56">
        <v>73.16</v>
      </c>
      <c r="T213">
        <v>419893536</v>
      </c>
      <c r="U213">
        <v>454610124</v>
      </c>
      <c r="V213">
        <v>371</v>
      </c>
      <c r="W213">
        <v>16</v>
      </c>
    </row>
    <row r="214" spans="1:23" x14ac:dyDescent="0.55000000000000004">
      <c r="A214" s="1">
        <v>9</v>
      </c>
      <c r="B214" s="1">
        <v>23</v>
      </c>
      <c r="C214" s="1">
        <v>4773</v>
      </c>
      <c r="D214" t="s">
        <v>215</v>
      </c>
      <c r="E214">
        <v>491</v>
      </c>
      <c r="F214">
        <v>1</v>
      </c>
      <c r="G214">
        <v>8068</v>
      </c>
      <c r="H214" s="38">
        <v>3961388</v>
      </c>
      <c r="I214" s="38">
        <v>86402</v>
      </c>
      <c r="J214">
        <v>1507.51</v>
      </c>
      <c r="K214">
        <v>0</v>
      </c>
      <c r="L214">
        <v>82.71</v>
      </c>
      <c r="M214">
        <v>438</v>
      </c>
      <c r="N214">
        <v>88.86</v>
      </c>
      <c r="O214">
        <v>457</v>
      </c>
      <c r="P214">
        <v>385.29</v>
      </c>
      <c r="Q214">
        <v>1800</v>
      </c>
      <c r="R214" s="56">
        <v>64.8</v>
      </c>
      <c r="S214" s="56">
        <v>70.86</v>
      </c>
      <c r="T214">
        <v>264776624</v>
      </c>
      <c r="U214">
        <v>264776624</v>
      </c>
      <c r="V214">
        <v>467.2</v>
      </c>
      <c r="W214">
        <v>6</v>
      </c>
    </row>
    <row r="215" spans="1:23" x14ac:dyDescent="0.55000000000000004">
      <c r="A215" s="1">
        <v>7</v>
      </c>
      <c r="B215" s="1">
        <v>98</v>
      </c>
      <c r="C215" s="1">
        <v>4788</v>
      </c>
      <c r="D215" t="s">
        <v>216</v>
      </c>
      <c r="E215">
        <v>489.6</v>
      </c>
      <c r="F215">
        <v>0</v>
      </c>
      <c r="G215">
        <v>8074</v>
      </c>
      <c r="H215" s="38">
        <v>3953030</v>
      </c>
      <c r="I215" s="38">
        <v>145807</v>
      </c>
      <c r="J215">
        <v>1081.75</v>
      </c>
      <c r="K215">
        <v>0</v>
      </c>
      <c r="L215">
        <v>77.69</v>
      </c>
      <c r="M215">
        <v>1008</v>
      </c>
      <c r="N215">
        <v>69.650000000000006</v>
      </c>
      <c r="O215">
        <v>751</v>
      </c>
      <c r="P215">
        <v>385.29</v>
      </c>
      <c r="Q215">
        <v>4992</v>
      </c>
      <c r="R215" s="56">
        <v>65.290000000000006</v>
      </c>
      <c r="S215" s="56">
        <v>72.78</v>
      </c>
      <c r="T215">
        <v>301965298</v>
      </c>
      <c r="U215">
        <v>394413381</v>
      </c>
      <c r="V215">
        <v>512.6</v>
      </c>
      <c r="W215">
        <v>0</v>
      </c>
    </row>
    <row r="216" spans="1:23" x14ac:dyDescent="0.55000000000000004">
      <c r="A216" s="1">
        <v>11</v>
      </c>
      <c r="B216" s="1">
        <v>91</v>
      </c>
      <c r="C216" s="1">
        <v>4797</v>
      </c>
      <c r="D216" t="s">
        <v>217</v>
      </c>
      <c r="E216">
        <v>3454.2</v>
      </c>
      <c r="F216">
        <v>100</v>
      </c>
      <c r="G216">
        <v>7988</v>
      </c>
      <c r="H216" s="38">
        <v>27592150</v>
      </c>
      <c r="I216" s="38">
        <v>0</v>
      </c>
      <c r="J216">
        <v>762.61</v>
      </c>
      <c r="K216">
        <v>0</v>
      </c>
      <c r="L216">
        <v>73.16</v>
      </c>
      <c r="M216">
        <v>0</v>
      </c>
      <c r="N216">
        <v>74.06</v>
      </c>
      <c r="O216">
        <v>0</v>
      </c>
      <c r="P216">
        <v>385.29</v>
      </c>
      <c r="Q216">
        <v>0</v>
      </c>
      <c r="R216" s="56">
        <v>64.86</v>
      </c>
      <c r="S216" s="56">
        <v>71.28</v>
      </c>
      <c r="T216">
        <v>1128756589</v>
      </c>
      <c r="U216">
        <v>1526859048</v>
      </c>
      <c r="V216">
        <v>3494.8</v>
      </c>
      <c r="W216">
        <v>207</v>
      </c>
    </row>
    <row r="217" spans="1:23" x14ac:dyDescent="0.55000000000000004">
      <c r="A217" s="1">
        <v>12</v>
      </c>
      <c r="B217" s="1">
        <v>81</v>
      </c>
      <c r="C217" s="1">
        <v>4860</v>
      </c>
      <c r="D217" t="s">
        <v>218</v>
      </c>
      <c r="E217">
        <v>907</v>
      </c>
      <c r="F217">
        <v>20</v>
      </c>
      <c r="G217">
        <v>7988</v>
      </c>
      <c r="H217" s="38">
        <v>7245116</v>
      </c>
      <c r="I217" s="38">
        <v>0</v>
      </c>
      <c r="J217">
        <v>958.54</v>
      </c>
      <c r="K217">
        <v>0</v>
      </c>
      <c r="L217">
        <v>83.7</v>
      </c>
      <c r="M217">
        <v>0</v>
      </c>
      <c r="N217">
        <v>79.150000000000006</v>
      </c>
      <c r="O217">
        <v>0</v>
      </c>
      <c r="P217">
        <v>385.29</v>
      </c>
      <c r="Q217">
        <v>0</v>
      </c>
      <c r="R217" s="56">
        <v>65.27</v>
      </c>
      <c r="S217" s="56">
        <v>73.06</v>
      </c>
      <c r="T217">
        <v>590016844</v>
      </c>
      <c r="U217">
        <v>779712102</v>
      </c>
      <c r="V217">
        <v>873.2</v>
      </c>
      <c r="W217">
        <v>23</v>
      </c>
    </row>
    <row r="218" spans="1:23" x14ac:dyDescent="0.55000000000000004">
      <c r="A218" s="1">
        <v>1</v>
      </c>
      <c r="B218" s="1">
        <v>33</v>
      </c>
      <c r="C218" s="1">
        <v>4869</v>
      </c>
      <c r="D218" t="s">
        <v>219</v>
      </c>
      <c r="E218">
        <v>1269.8</v>
      </c>
      <c r="F218">
        <v>10</v>
      </c>
      <c r="G218">
        <v>7989</v>
      </c>
      <c r="H218" s="38">
        <v>10144432</v>
      </c>
      <c r="I218" s="38">
        <v>288489</v>
      </c>
      <c r="J218">
        <v>849.08</v>
      </c>
      <c r="K218">
        <v>0</v>
      </c>
      <c r="L218">
        <v>79.41</v>
      </c>
      <c r="M218">
        <v>1723</v>
      </c>
      <c r="N218">
        <v>81.55</v>
      </c>
      <c r="O218">
        <v>1638</v>
      </c>
      <c r="P218">
        <v>385.29</v>
      </c>
      <c r="Q218">
        <v>8129</v>
      </c>
      <c r="R218" s="56">
        <v>65.260000000000005</v>
      </c>
      <c r="S218" s="56">
        <v>72.69</v>
      </c>
      <c r="T218">
        <v>380954402</v>
      </c>
      <c r="U218">
        <v>410702364</v>
      </c>
      <c r="V218">
        <v>1229</v>
      </c>
      <c r="W218">
        <v>8</v>
      </c>
    </row>
    <row r="219" spans="1:23" x14ac:dyDescent="0.55000000000000004">
      <c r="A219" s="1">
        <v>11</v>
      </c>
      <c r="B219" s="1">
        <v>8</v>
      </c>
      <c r="C219" s="1">
        <v>4878</v>
      </c>
      <c r="D219" t="s">
        <v>220</v>
      </c>
      <c r="E219">
        <v>551</v>
      </c>
      <c r="F219">
        <v>14</v>
      </c>
      <c r="G219">
        <v>7988</v>
      </c>
      <c r="H219" s="38">
        <v>4401388</v>
      </c>
      <c r="I219" s="38">
        <v>264497</v>
      </c>
      <c r="J219">
        <v>1060.1099999999999</v>
      </c>
      <c r="K219">
        <v>0</v>
      </c>
      <c r="L219">
        <v>77.38</v>
      </c>
      <c r="M219">
        <v>1667</v>
      </c>
      <c r="N219">
        <v>77.42</v>
      </c>
      <c r="O219">
        <v>1585</v>
      </c>
      <c r="P219">
        <v>385.29</v>
      </c>
      <c r="Q219">
        <v>8313</v>
      </c>
      <c r="R219" s="56">
        <v>64.86</v>
      </c>
      <c r="S219" s="56">
        <v>71.28</v>
      </c>
      <c r="T219">
        <v>404073223</v>
      </c>
      <c r="U219">
        <v>405004899</v>
      </c>
      <c r="V219">
        <v>521.20000000000005</v>
      </c>
      <c r="W219">
        <v>24</v>
      </c>
    </row>
    <row r="220" spans="1:23" x14ac:dyDescent="0.55000000000000004">
      <c r="A220" s="1">
        <v>5</v>
      </c>
      <c r="B220" s="1">
        <v>30</v>
      </c>
      <c r="C220" s="1">
        <v>4890</v>
      </c>
      <c r="D220" t="s">
        <v>221</v>
      </c>
      <c r="E220">
        <v>1015.4</v>
      </c>
      <c r="F220">
        <v>12</v>
      </c>
      <c r="G220">
        <v>7988</v>
      </c>
      <c r="H220" s="38">
        <v>8111015</v>
      </c>
      <c r="I220" s="38">
        <v>0</v>
      </c>
      <c r="J220">
        <v>1029.6400000000001</v>
      </c>
      <c r="K220">
        <v>0</v>
      </c>
      <c r="L220">
        <v>79.12</v>
      </c>
      <c r="M220">
        <v>0</v>
      </c>
      <c r="N220">
        <v>78.290000000000006</v>
      </c>
      <c r="O220">
        <v>0</v>
      </c>
      <c r="P220">
        <v>385.29</v>
      </c>
      <c r="Q220">
        <v>0</v>
      </c>
      <c r="R220" s="56">
        <v>65.34</v>
      </c>
      <c r="S220" s="56">
        <v>73.16</v>
      </c>
      <c r="T220">
        <v>2003584861</v>
      </c>
      <c r="U220">
        <v>2113039776</v>
      </c>
      <c r="V220">
        <v>976.7</v>
      </c>
      <c r="W220">
        <v>14</v>
      </c>
    </row>
    <row r="221" spans="1:23" x14ac:dyDescent="0.55000000000000004">
      <c r="A221" s="1">
        <v>10</v>
      </c>
      <c r="B221" s="1">
        <v>53</v>
      </c>
      <c r="C221" s="1">
        <v>4905</v>
      </c>
      <c r="D221" t="s">
        <v>222</v>
      </c>
      <c r="E221">
        <v>193.9</v>
      </c>
      <c r="F221">
        <v>5</v>
      </c>
      <c r="G221">
        <v>7988</v>
      </c>
      <c r="H221" s="38">
        <v>1548873</v>
      </c>
      <c r="I221" s="38">
        <v>0</v>
      </c>
      <c r="J221">
        <v>1515.34</v>
      </c>
      <c r="K221">
        <v>0</v>
      </c>
      <c r="L221">
        <v>85.41</v>
      </c>
      <c r="M221">
        <v>0</v>
      </c>
      <c r="N221">
        <v>84.6</v>
      </c>
      <c r="O221">
        <v>0</v>
      </c>
      <c r="P221">
        <v>385.29</v>
      </c>
      <c r="Q221">
        <v>0</v>
      </c>
      <c r="R221" s="56">
        <v>64.98</v>
      </c>
      <c r="S221" s="56">
        <v>71.459999999999994</v>
      </c>
      <c r="T221">
        <v>125779449</v>
      </c>
      <c r="U221">
        <v>125779449</v>
      </c>
      <c r="V221">
        <v>181.9</v>
      </c>
      <c r="W221">
        <v>8</v>
      </c>
    </row>
    <row r="222" spans="1:23" x14ac:dyDescent="0.55000000000000004">
      <c r="A222" s="1">
        <v>13</v>
      </c>
      <c r="B222" s="1">
        <v>1</v>
      </c>
      <c r="C222" s="1">
        <v>4978</v>
      </c>
      <c r="D222" t="s">
        <v>223</v>
      </c>
      <c r="E222">
        <v>137</v>
      </c>
      <c r="F222">
        <v>6</v>
      </c>
      <c r="G222">
        <v>7988</v>
      </c>
      <c r="H222" s="38">
        <v>1094356</v>
      </c>
      <c r="I222" s="38">
        <v>201152</v>
      </c>
      <c r="J222">
        <v>2035.29</v>
      </c>
      <c r="K222">
        <v>0</v>
      </c>
      <c r="L222">
        <v>92.79</v>
      </c>
      <c r="M222">
        <v>1873</v>
      </c>
      <c r="N222">
        <v>68.260000000000005</v>
      </c>
      <c r="O222">
        <v>1288</v>
      </c>
      <c r="P222">
        <v>385.29</v>
      </c>
      <c r="Q222">
        <v>7571</v>
      </c>
      <c r="R222" s="56">
        <v>64.989999999999995</v>
      </c>
      <c r="S222" s="56">
        <v>71.86</v>
      </c>
      <c r="T222">
        <v>221124083</v>
      </c>
      <c r="U222">
        <v>350198884</v>
      </c>
      <c r="V222">
        <v>100</v>
      </c>
      <c r="W222">
        <v>11</v>
      </c>
    </row>
    <row r="223" spans="1:23" x14ac:dyDescent="0.55000000000000004">
      <c r="A223" s="1">
        <v>7</v>
      </c>
      <c r="B223" s="1">
        <v>66</v>
      </c>
      <c r="C223" s="1">
        <v>4995</v>
      </c>
      <c r="D223" t="s">
        <v>224</v>
      </c>
      <c r="E223">
        <v>878.4</v>
      </c>
      <c r="F223">
        <v>8</v>
      </c>
      <c r="G223">
        <v>8005</v>
      </c>
      <c r="H223" s="38">
        <v>7031592</v>
      </c>
      <c r="I223" s="38">
        <v>118886</v>
      </c>
      <c r="J223">
        <v>997.96</v>
      </c>
      <c r="K223">
        <v>0</v>
      </c>
      <c r="L223">
        <v>77.8</v>
      </c>
      <c r="M223">
        <v>0</v>
      </c>
      <c r="N223">
        <v>74.790000000000006</v>
      </c>
      <c r="O223">
        <v>0</v>
      </c>
      <c r="P223">
        <v>385.29</v>
      </c>
      <c r="Q223">
        <v>0</v>
      </c>
      <c r="R223" s="56">
        <v>65.290000000000006</v>
      </c>
      <c r="S223" s="56">
        <v>72.78</v>
      </c>
      <c r="T223">
        <v>441890018</v>
      </c>
      <c r="U223">
        <v>514478838</v>
      </c>
      <c r="V223">
        <v>876.6</v>
      </c>
      <c r="W223">
        <v>3</v>
      </c>
    </row>
    <row r="224" spans="1:23" x14ac:dyDescent="0.55000000000000004">
      <c r="A224" s="1">
        <v>15</v>
      </c>
      <c r="B224" s="1">
        <v>62</v>
      </c>
      <c r="C224" s="1">
        <v>5013</v>
      </c>
      <c r="D224" t="s">
        <v>225</v>
      </c>
      <c r="E224">
        <v>2196</v>
      </c>
      <c r="F224">
        <v>158</v>
      </c>
      <c r="G224">
        <v>7988</v>
      </c>
      <c r="H224" s="38">
        <v>17541648</v>
      </c>
      <c r="I224" s="38">
        <v>20037</v>
      </c>
      <c r="J224">
        <v>909.43</v>
      </c>
      <c r="K224">
        <v>0</v>
      </c>
      <c r="L224">
        <v>78.42</v>
      </c>
      <c r="M224">
        <v>0</v>
      </c>
      <c r="N224">
        <v>86.99</v>
      </c>
      <c r="O224">
        <v>0</v>
      </c>
      <c r="P224">
        <v>385.29</v>
      </c>
      <c r="Q224">
        <v>0</v>
      </c>
      <c r="R224" s="56">
        <v>64.959999999999994</v>
      </c>
      <c r="S224" s="56">
        <v>71.430000000000007</v>
      </c>
      <c r="T224">
        <v>768541351</v>
      </c>
      <c r="U224">
        <v>788259927</v>
      </c>
      <c r="V224">
        <v>2197.8000000000002</v>
      </c>
      <c r="W224">
        <v>197</v>
      </c>
    </row>
    <row r="225" spans="1:23" x14ac:dyDescent="0.55000000000000004">
      <c r="A225" s="1">
        <v>15</v>
      </c>
      <c r="B225" s="1">
        <v>90</v>
      </c>
      <c r="C225" s="1">
        <v>5049</v>
      </c>
      <c r="D225" t="s">
        <v>226</v>
      </c>
      <c r="E225">
        <v>5124.3</v>
      </c>
      <c r="F225">
        <v>135</v>
      </c>
      <c r="G225">
        <v>7988</v>
      </c>
      <c r="H225" s="38">
        <v>40932908</v>
      </c>
      <c r="I225" s="38">
        <v>0</v>
      </c>
      <c r="J225">
        <v>735.1</v>
      </c>
      <c r="K225">
        <v>0</v>
      </c>
      <c r="L225">
        <v>75.31</v>
      </c>
      <c r="M225">
        <v>0</v>
      </c>
      <c r="N225">
        <v>93.51</v>
      </c>
      <c r="O225">
        <v>0</v>
      </c>
      <c r="P225">
        <v>385.29</v>
      </c>
      <c r="Q225">
        <v>0</v>
      </c>
      <c r="R225" s="56">
        <v>64.959999999999994</v>
      </c>
      <c r="S225" s="56">
        <v>71.430000000000007</v>
      </c>
      <c r="T225">
        <v>976852832</v>
      </c>
      <c r="U225">
        <v>1012687747</v>
      </c>
      <c r="V225">
        <v>4994.1000000000004</v>
      </c>
      <c r="W225">
        <v>189</v>
      </c>
    </row>
    <row r="226" spans="1:23" x14ac:dyDescent="0.55000000000000004">
      <c r="A226" s="1">
        <v>11</v>
      </c>
      <c r="B226" s="1">
        <v>50</v>
      </c>
      <c r="C226" s="1">
        <v>5160</v>
      </c>
      <c r="D226" t="s">
        <v>227</v>
      </c>
      <c r="E226">
        <v>990.1</v>
      </c>
      <c r="F226">
        <v>17</v>
      </c>
      <c r="G226">
        <v>7988</v>
      </c>
      <c r="H226" s="38">
        <v>7908919</v>
      </c>
      <c r="I226" s="38">
        <v>0</v>
      </c>
      <c r="J226">
        <v>972.07</v>
      </c>
      <c r="K226">
        <v>0</v>
      </c>
      <c r="L226">
        <v>72.680000000000007</v>
      </c>
      <c r="M226">
        <v>0</v>
      </c>
      <c r="N226">
        <v>75.239999999999995</v>
      </c>
      <c r="O226">
        <v>0</v>
      </c>
      <c r="P226">
        <v>385.29</v>
      </c>
      <c r="Q226">
        <v>0</v>
      </c>
      <c r="R226" s="56">
        <v>64.86</v>
      </c>
      <c r="S226" s="56">
        <v>71.28</v>
      </c>
      <c r="T226">
        <v>401241128</v>
      </c>
      <c r="U226">
        <v>409819005</v>
      </c>
      <c r="V226">
        <v>944.1</v>
      </c>
      <c r="W226">
        <v>24</v>
      </c>
    </row>
    <row r="227" spans="1:23" x14ac:dyDescent="0.55000000000000004">
      <c r="A227" s="1">
        <v>11</v>
      </c>
      <c r="B227" s="1">
        <v>39</v>
      </c>
      <c r="C227" s="1">
        <v>5121</v>
      </c>
      <c r="D227" t="s">
        <v>228</v>
      </c>
      <c r="E227">
        <v>643.5</v>
      </c>
      <c r="F227">
        <v>2</v>
      </c>
      <c r="G227">
        <v>7988</v>
      </c>
      <c r="H227" s="38">
        <v>5140278</v>
      </c>
      <c r="I227" s="38">
        <v>0</v>
      </c>
      <c r="J227">
        <v>1030.55</v>
      </c>
      <c r="K227">
        <v>0</v>
      </c>
      <c r="L227">
        <v>67.86</v>
      </c>
      <c r="M227">
        <v>0</v>
      </c>
      <c r="N227">
        <v>72.14</v>
      </c>
      <c r="O227">
        <v>0</v>
      </c>
      <c r="P227">
        <v>385.29</v>
      </c>
      <c r="Q227">
        <v>0</v>
      </c>
      <c r="R227" s="56">
        <v>64.86</v>
      </c>
      <c r="S227" s="56">
        <v>71.28</v>
      </c>
      <c r="T227">
        <v>539426949</v>
      </c>
      <c r="U227">
        <v>709241084</v>
      </c>
      <c r="V227">
        <v>634.9</v>
      </c>
      <c r="W227">
        <v>4</v>
      </c>
    </row>
    <row r="228" spans="1:23" x14ac:dyDescent="0.55000000000000004">
      <c r="A228" s="1">
        <v>5</v>
      </c>
      <c r="B228" s="1">
        <v>37</v>
      </c>
      <c r="C228" s="1">
        <v>5139</v>
      </c>
      <c r="D228" t="s">
        <v>229</v>
      </c>
      <c r="E228">
        <v>188</v>
      </c>
      <c r="F228">
        <v>2</v>
      </c>
      <c r="G228">
        <v>8115</v>
      </c>
      <c r="H228" s="38">
        <v>1525620</v>
      </c>
      <c r="I228" s="38">
        <v>0</v>
      </c>
      <c r="J228">
        <v>1296.68</v>
      </c>
      <c r="K228">
        <v>0</v>
      </c>
      <c r="L228">
        <v>65.03</v>
      </c>
      <c r="M228">
        <v>0</v>
      </c>
      <c r="N228">
        <v>84.77</v>
      </c>
      <c r="O228">
        <v>0</v>
      </c>
      <c r="P228">
        <v>385.29</v>
      </c>
      <c r="Q228">
        <v>0</v>
      </c>
      <c r="R228" s="56">
        <v>65.34</v>
      </c>
      <c r="S228" s="56">
        <v>73.16</v>
      </c>
      <c r="T228">
        <v>161243239</v>
      </c>
      <c r="U228">
        <v>170791568</v>
      </c>
      <c r="V228">
        <v>181</v>
      </c>
      <c r="W228">
        <v>4</v>
      </c>
    </row>
    <row r="229" spans="1:23" x14ac:dyDescent="0.55000000000000004">
      <c r="A229" s="1">
        <v>15</v>
      </c>
      <c r="B229" s="1">
        <v>54</v>
      </c>
      <c r="C229" s="1">
        <v>5163</v>
      </c>
      <c r="D229" t="s">
        <v>230</v>
      </c>
      <c r="E229">
        <v>527.20000000000005</v>
      </c>
      <c r="F229">
        <v>17</v>
      </c>
      <c r="G229">
        <v>7988</v>
      </c>
      <c r="H229" s="38">
        <v>4211274</v>
      </c>
      <c r="I229" s="38">
        <v>0</v>
      </c>
      <c r="J229">
        <v>1041.3399999999999</v>
      </c>
      <c r="K229">
        <v>0</v>
      </c>
      <c r="L229">
        <v>76.78</v>
      </c>
      <c r="M229">
        <v>0</v>
      </c>
      <c r="N229">
        <v>79.86</v>
      </c>
      <c r="O229">
        <v>0</v>
      </c>
      <c r="P229">
        <v>385.29</v>
      </c>
      <c r="Q229">
        <v>0</v>
      </c>
      <c r="R229" s="56">
        <v>64.959999999999994</v>
      </c>
      <c r="S229" s="56">
        <v>71.430000000000007</v>
      </c>
      <c r="T229">
        <v>355249366</v>
      </c>
      <c r="U229">
        <v>355249366</v>
      </c>
      <c r="V229">
        <v>514.79999999999995</v>
      </c>
      <c r="W229">
        <v>25</v>
      </c>
    </row>
    <row r="230" spans="1:23" x14ac:dyDescent="0.55000000000000004">
      <c r="A230" s="1">
        <v>11</v>
      </c>
      <c r="B230" s="1">
        <v>63</v>
      </c>
      <c r="C230" s="1">
        <v>5166</v>
      </c>
      <c r="D230" t="s">
        <v>231</v>
      </c>
      <c r="E230">
        <v>2135.6999999999998</v>
      </c>
      <c r="F230">
        <v>493</v>
      </c>
      <c r="G230">
        <v>7988</v>
      </c>
      <c r="H230" s="38">
        <v>17059972</v>
      </c>
      <c r="I230" s="38">
        <v>0</v>
      </c>
      <c r="J230">
        <v>794.4</v>
      </c>
      <c r="K230">
        <v>0</v>
      </c>
      <c r="L230">
        <v>71.099999999999994</v>
      </c>
      <c r="M230">
        <v>0</v>
      </c>
      <c r="N230">
        <v>76.680000000000007</v>
      </c>
      <c r="O230">
        <v>0</v>
      </c>
      <c r="P230">
        <v>385.29</v>
      </c>
      <c r="Q230">
        <v>0</v>
      </c>
      <c r="R230" s="56">
        <v>64.86</v>
      </c>
      <c r="S230" s="56">
        <v>71.28</v>
      </c>
      <c r="T230">
        <v>1170930958</v>
      </c>
      <c r="U230">
        <v>1224122456</v>
      </c>
      <c r="V230">
        <v>2103.5</v>
      </c>
      <c r="W230">
        <v>646</v>
      </c>
    </row>
    <row r="231" spans="1:23" x14ac:dyDescent="0.55000000000000004">
      <c r="A231" s="1">
        <v>11</v>
      </c>
      <c r="B231" s="1">
        <v>25</v>
      </c>
      <c r="C231" s="1">
        <v>5184</v>
      </c>
      <c r="D231" t="s">
        <v>232</v>
      </c>
      <c r="E231">
        <v>1809.4</v>
      </c>
      <c r="F231">
        <v>80</v>
      </c>
      <c r="G231">
        <v>7988</v>
      </c>
      <c r="H231" s="38">
        <v>14453487</v>
      </c>
      <c r="I231" s="38">
        <v>712416</v>
      </c>
      <c r="J231">
        <v>843.16</v>
      </c>
      <c r="K231">
        <v>0</v>
      </c>
      <c r="L231">
        <v>76.23</v>
      </c>
      <c r="M231">
        <v>3426</v>
      </c>
      <c r="N231">
        <v>100.61</v>
      </c>
      <c r="O231">
        <v>5205</v>
      </c>
      <c r="P231">
        <v>385.29</v>
      </c>
      <c r="Q231">
        <v>17578</v>
      </c>
      <c r="R231" s="56">
        <v>64.86</v>
      </c>
      <c r="S231" s="56">
        <v>71.28</v>
      </c>
      <c r="T231">
        <v>449056485</v>
      </c>
      <c r="U231">
        <v>461488113</v>
      </c>
      <c r="V231">
        <v>1796.4</v>
      </c>
      <c r="W231">
        <v>94</v>
      </c>
    </row>
    <row r="232" spans="1:23" x14ac:dyDescent="0.55000000000000004">
      <c r="A232" s="1">
        <v>9</v>
      </c>
      <c r="B232" s="1">
        <v>82</v>
      </c>
      <c r="C232" s="1">
        <v>5250</v>
      </c>
      <c r="D232" t="s">
        <v>233</v>
      </c>
      <c r="E232">
        <v>5497.5</v>
      </c>
      <c r="F232">
        <v>131</v>
      </c>
      <c r="G232">
        <v>8081</v>
      </c>
      <c r="H232" s="38">
        <v>44425298</v>
      </c>
      <c r="I232" s="38">
        <v>0</v>
      </c>
      <c r="J232">
        <v>720.57</v>
      </c>
      <c r="K232">
        <v>0</v>
      </c>
      <c r="L232">
        <v>74.2</v>
      </c>
      <c r="M232">
        <v>0</v>
      </c>
      <c r="N232">
        <v>69.650000000000006</v>
      </c>
      <c r="O232">
        <v>0</v>
      </c>
      <c r="P232">
        <v>385.29</v>
      </c>
      <c r="Q232">
        <v>0</v>
      </c>
      <c r="R232" s="56">
        <v>64.8</v>
      </c>
      <c r="S232" s="56">
        <v>70.86</v>
      </c>
      <c r="T232">
        <v>2273795302</v>
      </c>
      <c r="U232">
        <v>2454266371</v>
      </c>
      <c r="V232">
        <v>5413.2</v>
      </c>
      <c r="W232">
        <v>272</v>
      </c>
    </row>
    <row r="233" spans="1:23" x14ac:dyDescent="0.55000000000000004">
      <c r="A233" s="1">
        <v>11</v>
      </c>
      <c r="B233" s="1">
        <v>63</v>
      </c>
      <c r="C233" s="1">
        <v>5256</v>
      </c>
      <c r="D233" t="s">
        <v>234</v>
      </c>
      <c r="E233">
        <v>699.9</v>
      </c>
      <c r="F233">
        <v>1</v>
      </c>
      <c r="G233">
        <v>7988</v>
      </c>
      <c r="H233" s="38">
        <v>5590801</v>
      </c>
      <c r="I233" s="38">
        <v>0</v>
      </c>
      <c r="J233">
        <v>1024.9000000000001</v>
      </c>
      <c r="K233">
        <v>0</v>
      </c>
      <c r="L233">
        <v>72.760000000000005</v>
      </c>
      <c r="M233">
        <v>0</v>
      </c>
      <c r="N233">
        <v>89.4</v>
      </c>
      <c r="O233">
        <v>0</v>
      </c>
      <c r="P233">
        <v>385.29</v>
      </c>
      <c r="Q233">
        <v>0</v>
      </c>
      <c r="R233" s="56">
        <v>64.86</v>
      </c>
      <c r="S233" s="56">
        <v>71.28</v>
      </c>
      <c r="T233">
        <v>231141959</v>
      </c>
      <c r="U233">
        <v>236154299</v>
      </c>
      <c r="V233">
        <v>685.4</v>
      </c>
      <c r="W233">
        <v>2</v>
      </c>
    </row>
    <row r="234" spans="1:23" x14ac:dyDescent="0.55000000000000004">
      <c r="A234" s="1">
        <v>5</v>
      </c>
      <c r="B234" s="1">
        <v>76</v>
      </c>
      <c r="C234" s="1">
        <v>5283</v>
      </c>
      <c r="D234" t="s">
        <v>235</v>
      </c>
      <c r="E234">
        <v>659.8</v>
      </c>
      <c r="F234">
        <v>79</v>
      </c>
      <c r="G234">
        <v>8083</v>
      </c>
      <c r="H234" s="38">
        <v>5333163</v>
      </c>
      <c r="I234" s="38">
        <v>0</v>
      </c>
      <c r="J234">
        <v>925.21</v>
      </c>
      <c r="K234">
        <v>0</v>
      </c>
      <c r="L234">
        <v>97.25</v>
      </c>
      <c r="M234">
        <v>0</v>
      </c>
      <c r="N234">
        <v>75.59</v>
      </c>
      <c r="O234">
        <v>0</v>
      </c>
      <c r="P234">
        <v>385.29</v>
      </c>
      <c r="Q234">
        <v>0</v>
      </c>
      <c r="R234" s="56">
        <v>65.34</v>
      </c>
      <c r="S234" s="56">
        <v>73.16</v>
      </c>
      <c r="T234">
        <v>730211074</v>
      </c>
      <c r="U234">
        <v>735933983</v>
      </c>
      <c r="V234">
        <v>657.1</v>
      </c>
      <c r="W234">
        <v>94</v>
      </c>
    </row>
    <row r="235" spans="1:23" x14ac:dyDescent="0.55000000000000004">
      <c r="A235" s="1">
        <v>1</v>
      </c>
      <c r="B235" s="1">
        <v>3</v>
      </c>
      <c r="C235" s="1">
        <v>5310</v>
      </c>
      <c r="D235" t="s">
        <v>236</v>
      </c>
      <c r="E235">
        <v>738.5</v>
      </c>
      <c r="F235">
        <v>5</v>
      </c>
      <c r="G235">
        <v>7988</v>
      </c>
      <c r="H235" s="38">
        <v>5899138</v>
      </c>
      <c r="I235" s="38">
        <v>86758</v>
      </c>
      <c r="J235">
        <v>1021.61</v>
      </c>
      <c r="K235">
        <v>0</v>
      </c>
      <c r="L235">
        <v>70.819999999999993</v>
      </c>
      <c r="M235">
        <v>103</v>
      </c>
      <c r="N235">
        <v>104.71</v>
      </c>
      <c r="O235">
        <v>600</v>
      </c>
      <c r="P235">
        <v>385.29</v>
      </c>
      <c r="Q235">
        <v>1110</v>
      </c>
      <c r="R235" s="56">
        <v>65.260000000000005</v>
      </c>
      <c r="S235" s="56">
        <v>72.69</v>
      </c>
      <c r="T235">
        <v>214773909</v>
      </c>
      <c r="U235">
        <v>214773909</v>
      </c>
      <c r="V235">
        <v>704.5</v>
      </c>
      <c r="W235">
        <v>85</v>
      </c>
    </row>
    <row r="236" spans="1:23" x14ac:dyDescent="0.55000000000000004">
      <c r="A236" s="1">
        <v>13</v>
      </c>
      <c r="B236" s="1">
        <v>69</v>
      </c>
      <c r="C236" s="1">
        <v>5463</v>
      </c>
      <c r="D236" t="s">
        <v>237</v>
      </c>
      <c r="E236">
        <v>972.9</v>
      </c>
      <c r="F236">
        <v>0</v>
      </c>
      <c r="G236">
        <v>7988</v>
      </c>
      <c r="H236" s="38">
        <v>7771525</v>
      </c>
      <c r="I236" s="38">
        <v>603829</v>
      </c>
      <c r="J236">
        <v>1038.3800000000001</v>
      </c>
      <c r="K236">
        <v>0</v>
      </c>
      <c r="L236">
        <v>77.540000000000006</v>
      </c>
      <c r="M236">
        <v>5112</v>
      </c>
      <c r="N236">
        <v>92.46</v>
      </c>
      <c r="O236">
        <v>6258</v>
      </c>
      <c r="P236">
        <v>385.29</v>
      </c>
      <c r="Q236">
        <v>25404</v>
      </c>
      <c r="R236" s="56">
        <v>64.989999999999995</v>
      </c>
      <c r="S236" s="56">
        <v>71.86</v>
      </c>
      <c r="T236">
        <v>459066864</v>
      </c>
      <c r="U236">
        <v>464705585</v>
      </c>
      <c r="V236">
        <v>951.5</v>
      </c>
      <c r="W236">
        <v>0</v>
      </c>
    </row>
    <row r="237" spans="1:23" x14ac:dyDescent="0.55000000000000004">
      <c r="A237" s="1">
        <v>12</v>
      </c>
      <c r="B237" s="1">
        <v>75</v>
      </c>
      <c r="C237" s="1">
        <v>5486</v>
      </c>
      <c r="D237" t="s">
        <v>238</v>
      </c>
      <c r="E237">
        <v>331.1</v>
      </c>
      <c r="F237">
        <v>146</v>
      </c>
      <c r="G237">
        <v>7988</v>
      </c>
      <c r="H237" s="38">
        <v>2644827</v>
      </c>
      <c r="I237" s="38">
        <v>0</v>
      </c>
      <c r="J237">
        <v>1273.17</v>
      </c>
      <c r="K237">
        <v>0</v>
      </c>
      <c r="L237">
        <v>74.23</v>
      </c>
      <c r="M237">
        <v>0</v>
      </c>
      <c r="N237">
        <v>71.08</v>
      </c>
      <c r="O237">
        <v>0</v>
      </c>
      <c r="P237">
        <v>385.29</v>
      </c>
      <c r="Q237">
        <v>0</v>
      </c>
      <c r="R237" s="56">
        <v>65.27</v>
      </c>
      <c r="S237" s="56">
        <v>73.06</v>
      </c>
      <c r="T237">
        <v>370789417</v>
      </c>
      <c r="U237">
        <v>403239933</v>
      </c>
      <c r="V237">
        <v>316.2</v>
      </c>
      <c r="W237">
        <v>180</v>
      </c>
    </row>
    <row r="238" spans="1:23" x14ac:dyDescent="0.55000000000000004">
      <c r="A238" s="1">
        <v>1</v>
      </c>
      <c r="B238" s="1">
        <v>45</v>
      </c>
      <c r="C238" s="1">
        <v>5508</v>
      </c>
      <c r="D238" t="s">
        <v>239</v>
      </c>
      <c r="E238">
        <v>354.1</v>
      </c>
      <c r="F238">
        <v>2</v>
      </c>
      <c r="G238">
        <v>7988</v>
      </c>
      <c r="H238" s="38">
        <v>2828551</v>
      </c>
      <c r="I238" s="38">
        <v>0</v>
      </c>
      <c r="J238">
        <v>1743.47</v>
      </c>
      <c r="K238">
        <v>0</v>
      </c>
      <c r="L238">
        <v>102.7</v>
      </c>
      <c r="M238">
        <v>0</v>
      </c>
      <c r="N238">
        <v>77.739999999999995</v>
      </c>
      <c r="O238">
        <v>0</v>
      </c>
      <c r="P238">
        <v>385.29</v>
      </c>
      <c r="Q238">
        <v>0</v>
      </c>
      <c r="R238" s="56">
        <v>65.260000000000005</v>
      </c>
      <c r="S238" s="56">
        <v>72.69</v>
      </c>
      <c r="T238">
        <v>328323652</v>
      </c>
      <c r="U238">
        <v>464255124</v>
      </c>
      <c r="V238">
        <v>354.1</v>
      </c>
      <c r="W238">
        <v>3</v>
      </c>
    </row>
    <row r="239" spans="1:23" x14ac:dyDescent="0.55000000000000004">
      <c r="A239" s="1">
        <v>12</v>
      </c>
      <c r="B239" s="1">
        <v>97</v>
      </c>
      <c r="C239" s="1">
        <v>1975</v>
      </c>
      <c r="D239" t="s">
        <v>240</v>
      </c>
      <c r="E239">
        <v>362.1</v>
      </c>
      <c r="F239">
        <v>0</v>
      </c>
      <c r="G239">
        <v>7988</v>
      </c>
      <c r="H239" s="38">
        <v>2892455</v>
      </c>
      <c r="I239" s="38">
        <v>40816</v>
      </c>
      <c r="J239">
        <v>1258.67</v>
      </c>
      <c r="K239">
        <v>0</v>
      </c>
      <c r="L239">
        <v>80.73</v>
      </c>
      <c r="M239">
        <v>321</v>
      </c>
      <c r="N239">
        <v>90.41</v>
      </c>
      <c r="O239">
        <v>376</v>
      </c>
      <c r="P239">
        <v>385.29</v>
      </c>
      <c r="Q239">
        <v>1421</v>
      </c>
      <c r="R239" s="56">
        <v>65.27</v>
      </c>
      <c r="S239" s="56">
        <v>73.06</v>
      </c>
      <c r="T239">
        <v>280017492</v>
      </c>
      <c r="U239">
        <v>281217368</v>
      </c>
      <c r="V239">
        <v>335</v>
      </c>
      <c r="W239">
        <v>0</v>
      </c>
    </row>
    <row r="240" spans="1:23" x14ac:dyDescent="0.55000000000000004">
      <c r="A240" s="1">
        <v>13</v>
      </c>
      <c r="B240" s="1">
        <v>78</v>
      </c>
      <c r="C240" s="1">
        <v>5510</v>
      </c>
      <c r="D240" t="s">
        <v>241</v>
      </c>
      <c r="E240">
        <v>727</v>
      </c>
      <c r="F240">
        <v>1</v>
      </c>
      <c r="G240">
        <v>7988</v>
      </c>
      <c r="H240" s="38">
        <v>5807276</v>
      </c>
      <c r="I240" s="38">
        <v>0</v>
      </c>
      <c r="J240">
        <v>1038.27</v>
      </c>
      <c r="K240">
        <v>0</v>
      </c>
      <c r="L240">
        <v>74.87</v>
      </c>
      <c r="M240">
        <v>0</v>
      </c>
      <c r="N240">
        <v>72.13</v>
      </c>
      <c r="O240">
        <v>0</v>
      </c>
      <c r="P240">
        <v>385.29</v>
      </c>
      <c r="Q240">
        <v>0</v>
      </c>
      <c r="R240" s="56">
        <v>64.989999999999995</v>
      </c>
      <c r="S240" s="56">
        <v>71.86</v>
      </c>
      <c r="T240">
        <v>436052743</v>
      </c>
      <c r="U240">
        <v>444523898</v>
      </c>
      <c r="V240">
        <v>723</v>
      </c>
      <c r="W240">
        <v>3</v>
      </c>
    </row>
    <row r="241" spans="1:23" x14ac:dyDescent="0.55000000000000004">
      <c r="A241" s="1">
        <v>12</v>
      </c>
      <c r="B241" s="1">
        <v>84</v>
      </c>
      <c r="C241" s="1">
        <v>5607</v>
      </c>
      <c r="D241" t="s">
        <v>242</v>
      </c>
      <c r="E241">
        <v>788.7</v>
      </c>
      <c r="F241">
        <v>332</v>
      </c>
      <c r="G241">
        <v>7989</v>
      </c>
      <c r="H241" s="38">
        <v>6300924</v>
      </c>
      <c r="I241" s="38">
        <v>191867</v>
      </c>
      <c r="J241">
        <v>917.28</v>
      </c>
      <c r="K241">
        <v>0</v>
      </c>
      <c r="L241">
        <v>74.680000000000007</v>
      </c>
      <c r="M241">
        <v>0</v>
      </c>
      <c r="N241">
        <v>95.62</v>
      </c>
      <c r="O241">
        <v>0</v>
      </c>
      <c r="P241">
        <v>385.29</v>
      </c>
      <c r="Q241">
        <v>0</v>
      </c>
      <c r="R241" s="56">
        <v>65.27</v>
      </c>
      <c r="S241" s="56">
        <v>73.06</v>
      </c>
      <c r="T241">
        <v>379857762</v>
      </c>
      <c r="U241">
        <v>443192850</v>
      </c>
      <c r="V241">
        <v>779.7</v>
      </c>
      <c r="W241">
        <v>418</v>
      </c>
    </row>
    <row r="242" spans="1:23" x14ac:dyDescent="0.55000000000000004">
      <c r="A242" s="1">
        <v>11</v>
      </c>
      <c r="B242" s="1">
        <v>85</v>
      </c>
      <c r="C242" s="1">
        <v>5643</v>
      </c>
      <c r="D242" t="s">
        <v>243</v>
      </c>
      <c r="E242">
        <v>1007.6</v>
      </c>
      <c r="F242">
        <v>5</v>
      </c>
      <c r="G242">
        <v>7988</v>
      </c>
      <c r="H242" s="38">
        <v>8048709</v>
      </c>
      <c r="I242" s="38">
        <v>0</v>
      </c>
      <c r="J242">
        <v>820.79</v>
      </c>
      <c r="K242">
        <v>0</v>
      </c>
      <c r="L242">
        <v>82.29</v>
      </c>
      <c r="M242">
        <v>0</v>
      </c>
      <c r="N242">
        <v>77.63</v>
      </c>
      <c r="O242">
        <v>0</v>
      </c>
      <c r="P242">
        <v>385.29</v>
      </c>
      <c r="Q242">
        <v>0</v>
      </c>
      <c r="R242" s="56">
        <v>64.86</v>
      </c>
      <c r="S242" s="56">
        <v>71.28</v>
      </c>
      <c r="T242">
        <v>413325727</v>
      </c>
      <c r="U242">
        <v>469876698</v>
      </c>
      <c r="V242">
        <v>1001.9</v>
      </c>
      <c r="W242">
        <v>9</v>
      </c>
    </row>
    <row r="243" spans="1:23" x14ac:dyDescent="0.55000000000000004">
      <c r="A243" s="1">
        <v>7</v>
      </c>
      <c r="B243" s="1">
        <v>34</v>
      </c>
      <c r="C243" s="1">
        <v>5697</v>
      </c>
      <c r="D243" t="s">
        <v>244</v>
      </c>
      <c r="E243">
        <v>403</v>
      </c>
      <c r="F243">
        <v>3</v>
      </c>
      <c r="G243">
        <v>7988</v>
      </c>
      <c r="H243" s="38">
        <v>3219164</v>
      </c>
      <c r="I243" s="38">
        <v>100625</v>
      </c>
      <c r="J243">
        <v>1419.88</v>
      </c>
      <c r="K243">
        <v>0</v>
      </c>
      <c r="L243">
        <v>80.22</v>
      </c>
      <c r="M243">
        <v>564</v>
      </c>
      <c r="N243">
        <v>76.930000000000007</v>
      </c>
      <c r="O243">
        <v>455</v>
      </c>
      <c r="P243">
        <v>385.29</v>
      </c>
      <c r="Q243">
        <v>2601</v>
      </c>
      <c r="R243" s="56">
        <v>65.290000000000006</v>
      </c>
      <c r="S243" s="56">
        <v>72.78</v>
      </c>
      <c r="T243">
        <v>269858774</v>
      </c>
      <c r="U243">
        <v>277243623</v>
      </c>
      <c r="V243">
        <v>385</v>
      </c>
      <c r="W243">
        <v>10</v>
      </c>
    </row>
    <row r="244" spans="1:23" x14ac:dyDescent="0.55000000000000004">
      <c r="A244" s="1">
        <v>5</v>
      </c>
      <c r="B244" s="1">
        <v>74</v>
      </c>
      <c r="C244" s="1">
        <v>5724</v>
      </c>
      <c r="D244" t="s">
        <v>245</v>
      </c>
      <c r="E244">
        <v>185</v>
      </c>
      <c r="F244">
        <v>8</v>
      </c>
      <c r="G244">
        <v>7988</v>
      </c>
      <c r="H244" s="38">
        <v>1477780</v>
      </c>
      <c r="I244" s="38">
        <v>0</v>
      </c>
      <c r="J244">
        <v>1544.1</v>
      </c>
      <c r="K244">
        <v>0</v>
      </c>
      <c r="L244">
        <v>82.55</v>
      </c>
      <c r="M244">
        <v>0</v>
      </c>
      <c r="N244">
        <v>89.94</v>
      </c>
      <c r="O244">
        <v>0</v>
      </c>
      <c r="P244">
        <v>385.29</v>
      </c>
      <c r="Q244">
        <v>0</v>
      </c>
      <c r="R244" s="56">
        <v>65.34</v>
      </c>
      <c r="S244" s="56">
        <v>73.16</v>
      </c>
      <c r="T244">
        <v>153991179</v>
      </c>
      <c r="U244">
        <v>153991179</v>
      </c>
      <c r="V244">
        <v>185</v>
      </c>
      <c r="W244">
        <v>10</v>
      </c>
    </row>
    <row r="245" spans="1:23" x14ac:dyDescent="0.55000000000000004">
      <c r="A245" s="1">
        <v>11</v>
      </c>
      <c r="B245" s="1">
        <v>77</v>
      </c>
      <c r="C245" s="1">
        <v>5805</v>
      </c>
      <c r="D245" t="s">
        <v>246</v>
      </c>
      <c r="E245">
        <v>1016.4</v>
      </c>
      <c r="F245">
        <v>55</v>
      </c>
      <c r="G245">
        <v>8016</v>
      </c>
      <c r="H245" s="38">
        <v>8147462</v>
      </c>
      <c r="I245" s="38">
        <v>0</v>
      </c>
      <c r="J245">
        <v>879.12</v>
      </c>
      <c r="K245">
        <v>0</v>
      </c>
      <c r="L245">
        <v>78.59</v>
      </c>
      <c r="M245">
        <v>0</v>
      </c>
      <c r="N245">
        <v>92.91</v>
      </c>
      <c r="O245">
        <v>0</v>
      </c>
      <c r="P245">
        <v>385.29</v>
      </c>
      <c r="Q245">
        <v>0</v>
      </c>
      <c r="R245" s="56">
        <v>64.86</v>
      </c>
      <c r="S245" s="56">
        <v>71.28</v>
      </c>
      <c r="T245">
        <v>1575209666</v>
      </c>
      <c r="U245">
        <v>1718230490</v>
      </c>
      <c r="V245">
        <v>998.9</v>
      </c>
      <c r="W245">
        <v>81</v>
      </c>
    </row>
    <row r="246" spans="1:23" x14ac:dyDescent="0.55000000000000004">
      <c r="A246" s="1">
        <v>5</v>
      </c>
      <c r="B246" s="1">
        <v>81</v>
      </c>
      <c r="C246" s="1">
        <v>5823</v>
      </c>
      <c r="D246" t="s">
        <v>247</v>
      </c>
      <c r="E246">
        <v>351</v>
      </c>
      <c r="F246">
        <v>15</v>
      </c>
      <c r="G246">
        <v>8015</v>
      </c>
      <c r="H246" s="38">
        <v>2813265</v>
      </c>
      <c r="I246" s="38">
        <v>83587</v>
      </c>
      <c r="J246">
        <v>1206.6300000000001</v>
      </c>
      <c r="K246">
        <v>0</v>
      </c>
      <c r="L246">
        <v>81.540000000000006</v>
      </c>
      <c r="M246">
        <v>0</v>
      </c>
      <c r="N246">
        <v>73.38</v>
      </c>
      <c r="O246">
        <v>0</v>
      </c>
      <c r="P246">
        <v>385.29</v>
      </c>
      <c r="Q246">
        <v>0</v>
      </c>
      <c r="R246" s="56">
        <v>65.34</v>
      </c>
      <c r="S246" s="56">
        <v>73.16</v>
      </c>
      <c r="T246">
        <v>293497058</v>
      </c>
      <c r="U246">
        <v>294208489</v>
      </c>
      <c r="V246">
        <v>363.1</v>
      </c>
      <c r="W246">
        <v>10</v>
      </c>
    </row>
    <row r="247" spans="1:23" x14ac:dyDescent="0.55000000000000004">
      <c r="A247" s="1">
        <v>12</v>
      </c>
      <c r="B247" s="1">
        <v>24</v>
      </c>
      <c r="C247" s="1">
        <v>5832</v>
      </c>
      <c r="D247" t="s">
        <v>248</v>
      </c>
      <c r="E247">
        <v>231.1</v>
      </c>
      <c r="F247">
        <v>1</v>
      </c>
      <c r="G247">
        <v>7988</v>
      </c>
      <c r="H247" s="38">
        <v>1846027</v>
      </c>
      <c r="I247" s="38">
        <v>35187</v>
      </c>
      <c r="J247">
        <v>1260.79</v>
      </c>
      <c r="K247">
        <v>0</v>
      </c>
      <c r="L247">
        <v>57.26</v>
      </c>
      <c r="M247">
        <v>32</v>
      </c>
      <c r="N247">
        <v>74.150000000000006</v>
      </c>
      <c r="O247">
        <v>115</v>
      </c>
      <c r="P247">
        <v>385.29</v>
      </c>
      <c r="Q247">
        <v>854</v>
      </c>
      <c r="R247" s="56">
        <v>65.27</v>
      </c>
      <c r="S247" s="56">
        <v>73.06</v>
      </c>
      <c r="T247">
        <v>230611866</v>
      </c>
      <c r="U247">
        <v>235153610</v>
      </c>
      <c r="V247">
        <v>230.1</v>
      </c>
      <c r="W247">
        <v>5</v>
      </c>
    </row>
    <row r="248" spans="1:23" x14ac:dyDescent="0.55000000000000004">
      <c r="A248" s="1">
        <v>12</v>
      </c>
      <c r="B248" s="1">
        <v>97</v>
      </c>
      <c r="C248" s="1">
        <v>5877</v>
      </c>
      <c r="D248" t="s">
        <v>249</v>
      </c>
      <c r="E248">
        <v>1420.1</v>
      </c>
      <c r="F248">
        <v>35</v>
      </c>
      <c r="G248">
        <v>7988</v>
      </c>
      <c r="H248" s="38">
        <v>11343759</v>
      </c>
      <c r="I248" s="38">
        <v>20195</v>
      </c>
      <c r="J248">
        <v>745.97</v>
      </c>
      <c r="K248">
        <v>0</v>
      </c>
      <c r="L248">
        <v>82.99</v>
      </c>
      <c r="M248">
        <v>0</v>
      </c>
      <c r="N248">
        <v>82.15</v>
      </c>
      <c r="O248">
        <v>0</v>
      </c>
      <c r="P248">
        <v>385.29</v>
      </c>
      <c r="Q248">
        <v>0</v>
      </c>
      <c r="R248" s="56">
        <v>65.27</v>
      </c>
      <c r="S248" s="56">
        <v>73.06</v>
      </c>
      <c r="T248">
        <v>1035282643</v>
      </c>
      <c r="U248">
        <v>1267488298</v>
      </c>
      <c r="V248">
        <v>1371.7</v>
      </c>
      <c r="W248">
        <v>70</v>
      </c>
    </row>
    <row r="249" spans="1:23" x14ac:dyDescent="0.55000000000000004">
      <c r="A249" s="1">
        <v>15</v>
      </c>
      <c r="B249" s="1">
        <v>93</v>
      </c>
      <c r="C249" s="1">
        <v>5895</v>
      </c>
      <c r="D249" t="s">
        <v>250</v>
      </c>
      <c r="E249">
        <v>222</v>
      </c>
      <c r="F249">
        <v>0</v>
      </c>
      <c r="G249">
        <v>7988</v>
      </c>
      <c r="H249" s="38">
        <v>1773336</v>
      </c>
      <c r="I249" s="38">
        <v>69937</v>
      </c>
      <c r="J249">
        <v>2214.5700000000002</v>
      </c>
      <c r="K249">
        <v>0</v>
      </c>
      <c r="L249">
        <v>90.68</v>
      </c>
      <c r="M249">
        <v>661</v>
      </c>
      <c r="N249">
        <v>93.51</v>
      </c>
      <c r="O249">
        <v>660</v>
      </c>
      <c r="P249">
        <v>385.29</v>
      </c>
      <c r="Q249">
        <v>2555</v>
      </c>
      <c r="R249" s="56">
        <v>64.959999999999994</v>
      </c>
      <c r="S249" s="56">
        <v>71.430000000000007</v>
      </c>
      <c r="T249">
        <v>147700129</v>
      </c>
      <c r="U249">
        <v>147700129</v>
      </c>
      <c r="V249">
        <v>219.3</v>
      </c>
      <c r="W249">
        <v>0</v>
      </c>
    </row>
    <row r="250" spans="1:23" x14ac:dyDescent="0.55000000000000004">
      <c r="A250" s="1">
        <v>12</v>
      </c>
      <c r="B250" s="1">
        <v>71</v>
      </c>
      <c r="C250" s="1">
        <v>5949</v>
      </c>
      <c r="D250" t="s">
        <v>251</v>
      </c>
      <c r="E250">
        <v>1141.3</v>
      </c>
      <c r="F250">
        <v>142</v>
      </c>
      <c r="G250">
        <v>7988</v>
      </c>
      <c r="H250" s="38">
        <v>9116704</v>
      </c>
      <c r="I250" s="38">
        <v>0</v>
      </c>
      <c r="J250">
        <v>843.48</v>
      </c>
      <c r="K250">
        <v>0</v>
      </c>
      <c r="L250">
        <v>71.010000000000005</v>
      </c>
      <c r="M250">
        <v>0</v>
      </c>
      <c r="N250">
        <v>82.26</v>
      </c>
      <c r="O250">
        <v>0</v>
      </c>
      <c r="P250">
        <v>385.29</v>
      </c>
      <c r="Q250">
        <v>0</v>
      </c>
      <c r="R250" s="56">
        <v>65.27</v>
      </c>
      <c r="S250" s="56">
        <v>73.06</v>
      </c>
      <c r="T250">
        <v>475816789</v>
      </c>
      <c r="U250">
        <v>624255011</v>
      </c>
      <c r="V250">
        <v>1114.2</v>
      </c>
      <c r="W250">
        <v>174</v>
      </c>
    </row>
    <row r="251" spans="1:23" x14ac:dyDescent="0.55000000000000004">
      <c r="A251" s="1">
        <v>13</v>
      </c>
      <c r="B251" s="1">
        <v>73</v>
      </c>
      <c r="C251" s="1">
        <v>5976</v>
      </c>
      <c r="D251" t="s">
        <v>252</v>
      </c>
      <c r="E251">
        <v>1060.0999999999999</v>
      </c>
      <c r="F251">
        <v>4</v>
      </c>
      <c r="G251">
        <v>7988</v>
      </c>
      <c r="H251" s="38">
        <v>8468079</v>
      </c>
      <c r="I251" s="38">
        <v>0</v>
      </c>
      <c r="J251">
        <v>1008.6</v>
      </c>
      <c r="K251">
        <v>0</v>
      </c>
      <c r="L251">
        <v>77.97</v>
      </c>
      <c r="M251">
        <v>0</v>
      </c>
      <c r="N251">
        <v>90.55</v>
      </c>
      <c r="O251">
        <v>0</v>
      </c>
      <c r="P251">
        <v>385.29</v>
      </c>
      <c r="Q251">
        <v>0</v>
      </c>
      <c r="R251" s="56">
        <v>64.989999999999995</v>
      </c>
      <c r="S251" s="56">
        <v>71.86</v>
      </c>
      <c r="T251">
        <v>475422941</v>
      </c>
      <c r="U251">
        <v>479946544</v>
      </c>
      <c r="V251">
        <v>1043.7</v>
      </c>
      <c r="W251">
        <v>8</v>
      </c>
    </row>
    <row r="252" spans="1:23" x14ac:dyDescent="0.55000000000000004">
      <c r="A252" s="1">
        <v>12</v>
      </c>
      <c r="B252" s="1">
        <v>72</v>
      </c>
      <c r="C252" s="1">
        <v>5994</v>
      </c>
      <c r="D252" t="s">
        <v>253</v>
      </c>
      <c r="E252">
        <v>669.3</v>
      </c>
      <c r="F252">
        <v>15</v>
      </c>
      <c r="G252">
        <v>7988</v>
      </c>
      <c r="H252" s="38">
        <v>5346368</v>
      </c>
      <c r="I252" s="38">
        <v>0</v>
      </c>
      <c r="J252">
        <v>1224.79</v>
      </c>
      <c r="K252">
        <v>0</v>
      </c>
      <c r="L252">
        <v>73.73</v>
      </c>
      <c r="M252">
        <v>0</v>
      </c>
      <c r="N252">
        <v>83.86</v>
      </c>
      <c r="O252">
        <v>0</v>
      </c>
      <c r="P252">
        <v>385.29</v>
      </c>
      <c r="Q252">
        <v>0</v>
      </c>
      <c r="R252" s="56">
        <v>65.27</v>
      </c>
      <c r="S252" s="56">
        <v>73.06</v>
      </c>
      <c r="T252">
        <v>371335111</v>
      </c>
      <c r="U252">
        <v>421559522</v>
      </c>
      <c r="V252">
        <v>623.6</v>
      </c>
      <c r="W252">
        <v>25</v>
      </c>
    </row>
    <row r="253" spans="1:23" x14ac:dyDescent="0.55000000000000004">
      <c r="A253" s="1">
        <v>13</v>
      </c>
      <c r="B253" s="1">
        <v>36</v>
      </c>
      <c r="C253" s="1">
        <v>6003</v>
      </c>
      <c r="D253" t="s">
        <v>254</v>
      </c>
      <c r="E253">
        <v>367.2</v>
      </c>
      <c r="F253">
        <v>2</v>
      </c>
      <c r="G253">
        <v>7988</v>
      </c>
      <c r="H253" s="38">
        <v>2933194</v>
      </c>
      <c r="I253" s="38">
        <v>141563</v>
      </c>
      <c r="J253">
        <v>1299.52</v>
      </c>
      <c r="K253">
        <v>0</v>
      </c>
      <c r="L253">
        <v>80.52</v>
      </c>
      <c r="M253">
        <v>1003</v>
      </c>
      <c r="N253">
        <v>85.96</v>
      </c>
      <c r="O253">
        <v>1057</v>
      </c>
      <c r="P253">
        <v>385.29</v>
      </c>
      <c r="Q253">
        <v>4692</v>
      </c>
      <c r="R253" s="56">
        <v>64.989999999999995</v>
      </c>
      <c r="S253" s="56">
        <v>71.86</v>
      </c>
      <c r="T253">
        <v>224999672</v>
      </c>
      <c r="U253">
        <v>224999672</v>
      </c>
      <c r="V253">
        <v>337.2</v>
      </c>
      <c r="W253">
        <v>0</v>
      </c>
    </row>
    <row r="254" spans="1:23" x14ac:dyDescent="0.55000000000000004">
      <c r="A254" s="1">
        <v>15</v>
      </c>
      <c r="B254" s="1">
        <v>54</v>
      </c>
      <c r="C254" s="1">
        <v>6012</v>
      </c>
      <c r="D254" t="s">
        <v>255</v>
      </c>
      <c r="E254">
        <v>559</v>
      </c>
      <c r="F254">
        <v>4</v>
      </c>
      <c r="G254">
        <v>7988</v>
      </c>
      <c r="H254" s="38">
        <v>4465292</v>
      </c>
      <c r="I254" s="38">
        <v>0</v>
      </c>
      <c r="J254">
        <v>1012.23</v>
      </c>
      <c r="K254">
        <v>0</v>
      </c>
      <c r="L254">
        <v>76.97</v>
      </c>
      <c r="M254">
        <v>0</v>
      </c>
      <c r="N254">
        <v>80.59</v>
      </c>
      <c r="O254">
        <v>0</v>
      </c>
      <c r="P254">
        <v>385.29</v>
      </c>
      <c r="Q254">
        <v>0</v>
      </c>
      <c r="R254" s="56">
        <v>64.959999999999994</v>
      </c>
      <c r="S254" s="56">
        <v>71.430000000000007</v>
      </c>
      <c r="T254">
        <v>234344301</v>
      </c>
      <c r="U254">
        <v>234760446</v>
      </c>
      <c r="V254">
        <v>553.9</v>
      </c>
      <c r="W254">
        <v>4</v>
      </c>
    </row>
    <row r="255" spans="1:23" x14ac:dyDescent="0.55000000000000004">
      <c r="A255" s="1">
        <v>12</v>
      </c>
      <c r="B255" s="1">
        <v>84</v>
      </c>
      <c r="C255" s="1">
        <v>6030</v>
      </c>
      <c r="D255" t="s">
        <v>256</v>
      </c>
      <c r="E255">
        <v>1538</v>
      </c>
      <c r="F255">
        <v>603</v>
      </c>
      <c r="G255">
        <v>7988</v>
      </c>
      <c r="H255" s="38">
        <v>12285544</v>
      </c>
      <c r="I255" s="38">
        <v>0</v>
      </c>
      <c r="J255">
        <v>771.8</v>
      </c>
      <c r="K255">
        <v>0</v>
      </c>
      <c r="L255">
        <v>87.14</v>
      </c>
      <c r="M255">
        <v>0</v>
      </c>
      <c r="N255">
        <v>92.07</v>
      </c>
      <c r="O255">
        <v>0</v>
      </c>
      <c r="P255">
        <v>385.29</v>
      </c>
      <c r="Q255">
        <v>0</v>
      </c>
      <c r="R255" s="56">
        <v>65.27</v>
      </c>
      <c r="S255" s="56">
        <v>73.06</v>
      </c>
      <c r="T255">
        <v>608226338</v>
      </c>
      <c r="U255">
        <v>773467492</v>
      </c>
      <c r="V255">
        <v>1476.1</v>
      </c>
      <c r="W255">
        <v>747</v>
      </c>
    </row>
    <row r="256" spans="1:23" x14ac:dyDescent="0.55000000000000004">
      <c r="A256" s="1">
        <v>5</v>
      </c>
      <c r="B256" s="1">
        <v>11</v>
      </c>
      <c r="C256" s="1">
        <v>6035</v>
      </c>
      <c r="D256" t="s">
        <v>257</v>
      </c>
      <c r="E256">
        <v>422.5</v>
      </c>
      <c r="F256">
        <v>13</v>
      </c>
      <c r="G256">
        <v>7988</v>
      </c>
      <c r="H256" s="38">
        <v>3374930</v>
      </c>
      <c r="I256" s="38">
        <v>71327</v>
      </c>
      <c r="J256">
        <v>1240.67</v>
      </c>
      <c r="K256">
        <v>0</v>
      </c>
      <c r="L256">
        <v>92.06</v>
      </c>
      <c r="M256">
        <v>0</v>
      </c>
      <c r="N256">
        <v>85.82</v>
      </c>
      <c r="O256">
        <v>0</v>
      </c>
      <c r="P256">
        <v>385.29</v>
      </c>
      <c r="Q256">
        <v>0</v>
      </c>
      <c r="R256" s="56">
        <v>65.34</v>
      </c>
      <c r="S256" s="56">
        <v>73.16</v>
      </c>
      <c r="T256">
        <v>319238870</v>
      </c>
      <c r="U256">
        <v>319238870</v>
      </c>
      <c r="V256">
        <v>446.3</v>
      </c>
      <c r="W256">
        <v>10</v>
      </c>
    </row>
    <row r="257" spans="1:23" x14ac:dyDescent="0.55000000000000004">
      <c r="A257" s="1">
        <v>12</v>
      </c>
      <c r="B257" s="1">
        <v>97</v>
      </c>
      <c r="C257" s="1">
        <v>6039</v>
      </c>
      <c r="D257" t="s">
        <v>258</v>
      </c>
      <c r="E257">
        <v>14482.1</v>
      </c>
      <c r="F257">
        <v>1332</v>
      </c>
      <c r="G257">
        <v>7988</v>
      </c>
      <c r="H257" s="38">
        <v>115683015</v>
      </c>
      <c r="I257" s="38">
        <v>0</v>
      </c>
      <c r="J257">
        <v>731.52</v>
      </c>
      <c r="K257">
        <v>0</v>
      </c>
      <c r="L257">
        <v>79.010000000000005</v>
      </c>
      <c r="M257">
        <v>0</v>
      </c>
      <c r="N257">
        <v>97.02</v>
      </c>
      <c r="O257">
        <v>0</v>
      </c>
      <c r="P257">
        <v>385.29</v>
      </c>
      <c r="Q257">
        <v>0</v>
      </c>
      <c r="R257" s="56">
        <v>65.27</v>
      </c>
      <c r="S257" s="56">
        <v>73.06</v>
      </c>
      <c r="T257">
        <v>3296255829</v>
      </c>
      <c r="U257">
        <v>3740687039</v>
      </c>
      <c r="V257">
        <v>14181.4</v>
      </c>
      <c r="W257">
        <v>1635</v>
      </c>
    </row>
    <row r="258" spans="1:23" x14ac:dyDescent="0.55000000000000004">
      <c r="A258" s="1">
        <v>10</v>
      </c>
      <c r="B258" s="1">
        <v>52</v>
      </c>
      <c r="C258" s="1">
        <v>6093</v>
      </c>
      <c r="D258" t="s">
        <v>259</v>
      </c>
      <c r="E258">
        <v>1427.7</v>
      </c>
      <c r="F258">
        <v>15</v>
      </c>
      <c r="G258">
        <v>7988</v>
      </c>
      <c r="H258" s="38">
        <v>11404468</v>
      </c>
      <c r="I258" s="38">
        <v>0</v>
      </c>
      <c r="J258">
        <v>812.67</v>
      </c>
      <c r="K258">
        <v>0</v>
      </c>
      <c r="L258">
        <v>69.23</v>
      </c>
      <c r="M258">
        <v>0</v>
      </c>
      <c r="N258">
        <v>65.27</v>
      </c>
      <c r="O258">
        <v>0</v>
      </c>
      <c r="P258">
        <v>385.29</v>
      </c>
      <c r="Q258">
        <v>0</v>
      </c>
      <c r="R258" s="56">
        <v>64.98</v>
      </c>
      <c r="S258" s="56">
        <v>71.459999999999994</v>
      </c>
      <c r="T258">
        <v>634961631</v>
      </c>
      <c r="U258">
        <v>656052401</v>
      </c>
      <c r="V258">
        <v>1464.7</v>
      </c>
      <c r="W258">
        <v>37</v>
      </c>
    </row>
    <row r="259" spans="1:23" x14ac:dyDescent="0.55000000000000004">
      <c r="A259" s="1">
        <v>5</v>
      </c>
      <c r="B259" s="1">
        <v>13</v>
      </c>
      <c r="C259" s="1">
        <v>6091</v>
      </c>
      <c r="D259" t="s">
        <v>260</v>
      </c>
      <c r="E259">
        <v>888.3</v>
      </c>
      <c r="F259">
        <v>31</v>
      </c>
      <c r="G259">
        <v>7988</v>
      </c>
      <c r="H259" s="38">
        <v>7095740</v>
      </c>
      <c r="I259" s="38">
        <v>224396</v>
      </c>
      <c r="J259">
        <v>970.51</v>
      </c>
      <c r="K259">
        <v>0</v>
      </c>
      <c r="L259">
        <v>77.59</v>
      </c>
      <c r="M259">
        <v>642</v>
      </c>
      <c r="N259">
        <v>82.32</v>
      </c>
      <c r="O259">
        <v>635</v>
      </c>
      <c r="P259">
        <v>385.29</v>
      </c>
      <c r="Q259">
        <v>3183</v>
      </c>
      <c r="R259" s="56">
        <v>65.34</v>
      </c>
      <c r="S259" s="56">
        <v>73.16</v>
      </c>
      <c r="T259">
        <v>668489277</v>
      </c>
      <c r="U259">
        <v>673512103</v>
      </c>
      <c r="V259">
        <v>927.4</v>
      </c>
      <c r="W259">
        <v>45</v>
      </c>
    </row>
    <row r="260" spans="1:23" x14ac:dyDescent="0.55000000000000004">
      <c r="A260" s="1">
        <v>5</v>
      </c>
      <c r="B260" s="1">
        <v>40</v>
      </c>
      <c r="C260" s="1">
        <v>6095</v>
      </c>
      <c r="D260" t="s">
        <v>261</v>
      </c>
      <c r="E260">
        <v>609.6</v>
      </c>
      <c r="F260">
        <v>3</v>
      </c>
      <c r="G260">
        <v>8010</v>
      </c>
      <c r="H260" s="38">
        <v>4882896</v>
      </c>
      <c r="I260" s="38">
        <v>0</v>
      </c>
      <c r="J260">
        <v>1047.8499999999999</v>
      </c>
      <c r="K260">
        <v>0</v>
      </c>
      <c r="L260">
        <v>88.11</v>
      </c>
      <c r="M260">
        <v>0</v>
      </c>
      <c r="N260">
        <v>85.51</v>
      </c>
      <c r="O260">
        <v>0</v>
      </c>
      <c r="P260">
        <v>385.29</v>
      </c>
      <c r="Q260">
        <v>0</v>
      </c>
      <c r="R260" s="56">
        <v>65.34</v>
      </c>
      <c r="S260" s="56">
        <v>73.16</v>
      </c>
      <c r="T260">
        <v>401385887</v>
      </c>
      <c r="U260">
        <v>404422073</v>
      </c>
      <c r="V260">
        <v>625.20000000000005</v>
      </c>
      <c r="W260">
        <v>4</v>
      </c>
    </row>
    <row r="261" spans="1:23" x14ac:dyDescent="0.55000000000000004">
      <c r="A261" s="1">
        <v>12</v>
      </c>
      <c r="B261" s="1">
        <v>71</v>
      </c>
      <c r="C261" s="1">
        <v>6099</v>
      </c>
      <c r="D261" t="s">
        <v>262</v>
      </c>
      <c r="E261">
        <v>575.79999999999995</v>
      </c>
      <c r="F261">
        <v>79</v>
      </c>
      <c r="G261">
        <v>8001</v>
      </c>
      <c r="H261" s="38">
        <v>4606976</v>
      </c>
      <c r="I261" s="38">
        <v>0</v>
      </c>
      <c r="J261">
        <v>1089.42</v>
      </c>
      <c r="K261">
        <v>0</v>
      </c>
      <c r="L261">
        <v>82.1</v>
      </c>
      <c r="M261">
        <v>0</v>
      </c>
      <c r="N261">
        <v>72.78</v>
      </c>
      <c r="O261">
        <v>0</v>
      </c>
      <c r="P261">
        <v>385.29</v>
      </c>
      <c r="Q261">
        <v>0</v>
      </c>
      <c r="R261" s="56">
        <v>65.27</v>
      </c>
      <c r="S261" s="56">
        <v>73.06</v>
      </c>
      <c r="T261">
        <v>757613327</v>
      </c>
      <c r="U261">
        <v>773617424</v>
      </c>
      <c r="V261">
        <v>578.1</v>
      </c>
      <c r="W261">
        <v>87</v>
      </c>
    </row>
    <row r="262" spans="1:23" x14ac:dyDescent="0.55000000000000004">
      <c r="A262" s="1">
        <v>13</v>
      </c>
      <c r="B262" s="1">
        <v>73</v>
      </c>
      <c r="C262" s="1">
        <v>6097</v>
      </c>
      <c r="D262" t="s">
        <v>263</v>
      </c>
      <c r="E262">
        <v>188.3</v>
      </c>
      <c r="F262">
        <v>0</v>
      </c>
      <c r="G262">
        <v>7988</v>
      </c>
      <c r="H262" s="38">
        <v>1504140</v>
      </c>
      <c r="I262" s="38">
        <v>55371</v>
      </c>
      <c r="J262">
        <v>1445.07</v>
      </c>
      <c r="K262">
        <v>0</v>
      </c>
      <c r="L262">
        <v>79.819999999999993</v>
      </c>
      <c r="M262">
        <v>419</v>
      </c>
      <c r="N262">
        <v>68.900000000000006</v>
      </c>
      <c r="O262">
        <v>292</v>
      </c>
      <c r="P262">
        <v>385.29</v>
      </c>
      <c r="Q262">
        <v>1978</v>
      </c>
      <c r="R262" s="56">
        <v>64.989999999999995</v>
      </c>
      <c r="S262" s="56">
        <v>71.86</v>
      </c>
      <c r="T262">
        <v>139405222</v>
      </c>
      <c r="U262">
        <v>139405222</v>
      </c>
      <c r="V262">
        <v>165.6</v>
      </c>
      <c r="W262">
        <v>3</v>
      </c>
    </row>
    <row r="263" spans="1:23" x14ac:dyDescent="0.55000000000000004">
      <c r="A263" s="1">
        <v>7</v>
      </c>
      <c r="B263" s="1">
        <v>86</v>
      </c>
      <c r="C263" s="1">
        <v>6098</v>
      </c>
      <c r="D263" t="s">
        <v>264</v>
      </c>
      <c r="E263">
        <v>1365.4</v>
      </c>
      <c r="F263">
        <v>4</v>
      </c>
      <c r="G263">
        <v>7988</v>
      </c>
      <c r="H263" s="38">
        <v>10906815</v>
      </c>
      <c r="I263" s="38">
        <v>163101</v>
      </c>
      <c r="J263">
        <v>898.93</v>
      </c>
      <c r="K263">
        <v>0</v>
      </c>
      <c r="L263">
        <v>74.209999999999994</v>
      </c>
      <c r="M263">
        <v>252</v>
      </c>
      <c r="N263">
        <v>91.03</v>
      </c>
      <c r="O263">
        <v>596</v>
      </c>
      <c r="P263">
        <v>385.29</v>
      </c>
      <c r="Q263">
        <v>1787</v>
      </c>
      <c r="R263" s="56">
        <v>65.290000000000006</v>
      </c>
      <c r="S263" s="56">
        <v>72.78</v>
      </c>
      <c r="T263">
        <v>439225581</v>
      </c>
      <c r="U263">
        <v>444515678</v>
      </c>
      <c r="V263">
        <v>1328.5</v>
      </c>
      <c r="W263">
        <v>26</v>
      </c>
    </row>
    <row r="264" spans="1:23" x14ac:dyDescent="0.55000000000000004">
      <c r="A264" s="1">
        <v>1</v>
      </c>
      <c r="B264" s="1">
        <v>96</v>
      </c>
      <c r="C264" s="1">
        <v>6100</v>
      </c>
      <c r="D264" t="s">
        <v>265</v>
      </c>
      <c r="E264">
        <v>538.79999999999995</v>
      </c>
      <c r="F264">
        <v>142</v>
      </c>
      <c r="G264">
        <v>7988</v>
      </c>
      <c r="H264" s="38">
        <v>4303934</v>
      </c>
      <c r="I264" s="38">
        <v>0</v>
      </c>
      <c r="J264">
        <v>947.32</v>
      </c>
      <c r="K264">
        <v>0</v>
      </c>
      <c r="L264">
        <v>80.900000000000006</v>
      </c>
      <c r="M264">
        <v>0</v>
      </c>
      <c r="N264">
        <v>65.3</v>
      </c>
      <c r="O264">
        <v>0</v>
      </c>
      <c r="P264">
        <v>385.29</v>
      </c>
      <c r="Q264">
        <v>0</v>
      </c>
      <c r="R264" s="56">
        <v>65.260000000000005</v>
      </c>
      <c r="S264" s="56">
        <v>72.69</v>
      </c>
      <c r="T264">
        <v>298544263</v>
      </c>
      <c r="U264">
        <v>301088861</v>
      </c>
      <c r="V264">
        <v>518.20000000000005</v>
      </c>
      <c r="W264">
        <v>151</v>
      </c>
    </row>
    <row r="265" spans="1:23" x14ac:dyDescent="0.55000000000000004">
      <c r="A265" s="1">
        <v>11</v>
      </c>
      <c r="B265" s="1">
        <v>77</v>
      </c>
      <c r="C265" s="1">
        <v>6101</v>
      </c>
      <c r="D265" t="s">
        <v>266</v>
      </c>
      <c r="E265">
        <v>7288.6</v>
      </c>
      <c r="F265">
        <v>337</v>
      </c>
      <c r="G265">
        <v>7988</v>
      </c>
      <c r="H265" s="38">
        <v>58221337</v>
      </c>
      <c r="I265" s="38">
        <v>0</v>
      </c>
      <c r="J265">
        <v>712.7</v>
      </c>
      <c r="K265">
        <v>0</v>
      </c>
      <c r="L265">
        <v>74.36</v>
      </c>
      <c r="M265">
        <v>0</v>
      </c>
      <c r="N265">
        <v>74.92</v>
      </c>
      <c r="O265">
        <v>0</v>
      </c>
      <c r="P265">
        <v>385.29</v>
      </c>
      <c r="Q265">
        <v>0</v>
      </c>
      <c r="R265" s="56">
        <v>64.86</v>
      </c>
      <c r="S265" s="56">
        <v>71.28</v>
      </c>
      <c r="T265">
        <v>2675265639</v>
      </c>
      <c r="U265">
        <v>3237972103</v>
      </c>
      <c r="V265">
        <v>7299.6</v>
      </c>
      <c r="W265">
        <v>445</v>
      </c>
    </row>
    <row r="266" spans="1:23" x14ac:dyDescent="0.55000000000000004">
      <c r="A266" s="1">
        <v>5</v>
      </c>
      <c r="B266" s="1">
        <v>94</v>
      </c>
      <c r="C266" s="1">
        <v>6096</v>
      </c>
      <c r="D266" t="s">
        <v>267</v>
      </c>
      <c r="E266">
        <v>1105.0999999999999</v>
      </c>
      <c r="F266">
        <v>22</v>
      </c>
      <c r="G266">
        <v>8072</v>
      </c>
      <c r="H266" s="38">
        <v>8920367</v>
      </c>
      <c r="I266" s="38">
        <v>0</v>
      </c>
      <c r="J266">
        <v>1261.68</v>
      </c>
      <c r="K266">
        <v>0</v>
      </c>
      <c r="L266">
        <v>87.71</v>
      </c>
      <c r="M266">
        <v>0</v>
      </c>
      <c r="N266">
        <v>85.41</v>
      </c>
      <c r="O266">
        <v>0</v>
      </c>
      <c r="P266">
        <v>385.29</v>
      </c>
      <c r="Q266">
        <v>0</v>
      </c>
      <c r="R266" s="56">
        <v>65.34</v>
      </c>
      <c r="S266" s="56">
        <v>73.16</v>
      </c>
      <c r="T266">
        <v>936759351</v>
      </c>
      <c r="U266">
        <v>1023672346</v>
      </c>
      <c r="V266">
        <v>1045</v>
      </c>
      <c r="W266">
        <v>34</v>
      </c>
    </row>
    <row r="267" spans="1:23" x14ac:dyDescent="0.55000000000000004">
      <c r="A267" s="1">
        <v>11</v>
      </c>
      <c r="B267" s="1">
        <v>91</v>
      </c>
      <c r="C267" s="1">
        <v>6094</v>
      </c>
      <c r="D267" t="s">
        <v>268</v>
      </c>
      <c r="E267">
        <v>488.9</v>
      </c>
      <c r="F267">
        <v>5</v>
      </c>
      <c r="G267">
        <v>7988</v>
      </c>
      <c r="H267" s="38">
        <v>3905333</v>
      </c>
      <c r="I267" s="38">
        <v>0</v>
      </c>
      <c r="J267">
        <v>1133.8399999999999</v>
      </c>
      <c r="K267">
        <v>0</v>
      </c>
      <c r="L267">
        <v>74.319999999999993</v>
      </c>
      <c r="M267">
        <v>0</v>
      </c>
      <c r="N267">
        <v>73.06</v>
      </c>
      <c r="O267">
        <v>0</v>
      </c>
      <c r="P267">
        <v>385.29</v>
      </c>
      <c r="Q267">
        <v>0</v>
      </c>
      <c r="R267" s="56">
        <v>64.86</v>
      </c>
      <c r="S267" s="56">
        <v>71.28</v>
      </c>
      <c r="T267">
        <v>206173212</v>
      </c>
      <c r="U267">
        <v>206173212</v>
      </c>
      <c r="V267">
        <v>470</v>
      </c>
      <c r="W267">
        <v>12</v>
      </c>
    </row>
    <row r="268" spans="1:23" x14ac:dyDescent="0.55000000000000004">
      <c r="A268" s="1">
        <v>5</v>
      </c>
      <c r="B268" s="1">
        <v>21</v>
      </c>
      <c r="C268" s="1">
        <v>6102</v>
      </c>
      <c r="D268" t="s">
        <v>269</v>
      </c>
      <c r="E268">
        <v>1947.2</v>
      </c>
      <c r="F268">
        <v>188</v>
      </c>
      <c r="G268">
        <v>7988</v>
      </c>
      <c r="H268" s="38">
        <v>15554234</v>
      </c>
      <c r="I268" s="38">
        <v>348346</v>
      </c>
      <c r="J268">
        <v>778.96</v>
      </c>
      <c r="K268">
        <v>0</v>
      </c>
      <c r="L268">
        <v>82.9</v>
      </c>
      <c r="M268">
        <v>0</v>
      </c>
      <c r="N268">
        <v>82.57</v>
      </c>
      <c r="O268">
        <v>0</v>
      </c>
      <c r="P268">
        <v>385.29</v>
      </c>
      <c r="Q268">
        <v>0</v>
      </c>
      <c r="R268" s="56">
        <v>65.34</v>
      </c>
      <c r="S268" s="56">
        <v>73.16</v>
      </c>
      <c r="T268">
        <v>772154036</v>
      </c>
      <c r="U268">
        <v>818654040</v>
      </c>
      <c r="V268">
        <v>1863.9</v>
      </c>
      <c r="W268">
        <v>239</v>
      </c>
    </row>
    <row r="269" spans="1:23" x14ac:dyDescent="0.55000000000000004">
      <c r="A269" s="1">
        <v>5</v>
      </c>
      <c r="B269" s="1">
        <v>30</v>
      </c>
      <c r="C269" s="1">
        <v>6120</v>
      </c>
      <c r="D269" t="s">
        <v>270</v>
      </c>
      <c r="E269">
        <v>1149.9000000000001</v>
      </c>
      <c r="F269">
        <v>0</v>
      </c>
      <c r="G269">
        <v>7988</v>
      </c>
      <c r="H269" s="38">
        <v>9185401</v>
      </c>
      <c r="I269" s="38">
        <v>68116</v>
      </c>
      <c r="J269">
        <v>845.27</v>
      </c>
      <c r="K269">
        <v>0</v>
      </c>
      <c r="L269">
        <v>81</v>
      </c>
      <c r="M269">
        <v>0</v>
      </c>
      <c r="N269">
        <v>78.92</v>
      </c>
      <c r="O269">
        <v>0</v>
      </c>
      <c r="P269">
        <v>385.29</v>
      </c>
      <c r="Q269">
        <v>0</v>
      </c>
      <c r="R269" s="56">
        <v>65.34</v>
      </c>
      <c r="S269" s="56">
        <v>73.16</v>
      </c>
      <c r="T269">
        <v>1742595071</v>
      </c>
      <c r="U269">
        <v>1779815380</v>
      </c>
      <c r="V269">
        <v>1125.7</v>
      </c>
      <c r="W269">
        <v>0</v>
      </c>
    </row>
    <row r="270" spans="1:23" x14ac:dyDescent="0.55000000000000004">
      <c r="A270" s="1">
        <v>10</v>
      </c>
      <c r="B270" s="1">
        <v>57</v>
      </c>
      <c r="C270" s="1">
        <v>6138</v>
      </c>
      <c r="D270" t="s">
        <v>271</v>
      </c>
      <c r="E270">
        <v>404</v>
      </c>
      <c r="F270">
        <v>9</v>
      </c>
      <c r="G270">
        <v>7990</v>
      </c>
      <c r="H270" s="38">
        <v>3227960</v>
      </c>
      <c r="I270" s="38">
        <v>24387</v>
      </c>
      <c r="J270">
        <v>1540.12</v>
      </c>
      <c r="K270">
        <v>0</v>
      </c>
      <c r="L270">
        <v>71.849999999999994</v>
      </c>
      <c r="M270">
        <v>0</v>
      </c>
      <c r="N270">
        <v>68.22</v>
      </c>
      <c r="O270">
        <v>0</v>
      </c>
      <c r="P270">
        <v>385.29</v>
      </c>
      <c r="Q270">
        <v>0</v>
      </c>
      <c r="R270" s="56">
        <v>64.98</v>
      </c>
      <c r="S270" s="56">
        <v>71.459999999999994</v>
      </c>
      <c r="T270">
        <v>189798304</v>
      </c>
      <c r="U270">
        <v>189818059</v>
      </c>
      <c r="V270">
        <v>403.5</v>
      </c>
      <c r="W270">
        <v>12</v>
      </c>
    </row>
    <row r="271" spans="1:23" x14ac:dyDescent="0.55000000000000004">
      <c r="A271" s="1">
        <v>7</v>
      </c>
      <c r="B271" s="1">
        <v>66</v>
      </c>
      <c r="C271" s="1">
        <v>5751</v>
      </c>
      <c r="D271" t="s">
        <v>272</v>
      </c>
      <c r="E271">
        <v>612.29999999999995</v>
      </c>
      <c r="F271">
        <v>0</v>
      </c>
      <c r="G271">
        <v>7988</v>
      </c>
      <c r="H271" s="38">
        <v>4891052</v>
      </c>
      <c r="I271" s="38">
        <v>0</v>
      </c>
      <c r="J271">
        <v>936.63</v>
      </c>
      <c r="K271">
        <v>0</v>
      </c>
      <c r="L271">
        <v>78.569999999999993</v>
      </c>
      <c r="M271">
        <v>0</v>
      </c>
      <c r="N271">
        <v>76.3</v>
      </c>
      <c r="O271">
        <v>0</v>
      </c>
      <c r="P271">
        <v>385.29</v>
      </c>
      <c r="Q271">
        <v>0</v>
      </c>
      <c r="R271" s="56">
        <v>65.290000000000006</v>
      </c>
      <c r="S271" s="56">
        <v>72.78</v>
      </c>
      <c r="T271">
        <v>417371265</v>
      </c>
      <c r="U271">
        <v>640504361</v>
      </c>
      <c r="V271">
        <v>615.70000000000005</v>
      </c>
      <c r="W271">
        <v>0</v>
      </c>
    </row>
    <row r="272" spans="1:23" x14ac:dyDescent="0.55000000000000004">
      <c r="A272" s="1">
        <v>13</v>
      </c>
      <c r="B272" s="1">
        <v>69</v>
      </c>
      <c r="C272" s="1">
        <v>6165</v>
      </c>
      <c r="D272" t="s">
        <v>273</v>
      </c>
      <c r="E272">
        <v>198.1</v>
      </c>
      <c r="F272">
        <v>0</v>
      </c>
      <c r="G272">
        <v>7988</v>
      </c>
      <c r="H272" s="38">
        <v>1582423</v>
      </c>
      <c r="I272" s="38">
        <v>0</v>
      </c>
      <c r="J272">
        <v>1452.54</v>
      </c>
      <c r="K272">
        <v>0</v>
      </c>
      <c r="L272">
        <v>94.94</v>
      </c>
      <c r="M272">
        <v>0</v>
      </c>
      <c r="N272">
        <v>79.95</v>
      </c>
      <c r="O272">
        <v>0</v>
      </c>
      <c r="P272">
        <v>385.29</v>
      </c>
      <c r="Q272">
        <v>0</v>
      </c>
      <c r="R272" s="56">
        <v>64.989999999999995</v>
      </c>
      <c r="S272" s="56">
        <v>71.86</v>
      </c>
      <c r="T272">
        <v>100087217</v>
      </c>
      <c r="U272">
        <v>100087217</v>
      </c>
      <c r="V272">
        <v>184.2</v>
      </c>
      <c r="W272">
        <v>0</v>
      </c>
    </row>
    <row r="273" spans="1:23" x14ac:dyDescent="0.55000000000000004">
      <c r="A273" s="1">
        <v>1</v>
      </c>
      <c r="B273" s="1">
        <v>22</v>
      </c>
      <c r="C273" s="1">
        <v>6175</v>
      </c>
      <c r="D273" t="s">
        <v>274</v>
      </c>
      <c r="E273">
        <v>540</v>
      </c>
      <c r="F273">
        <v>2</v>
      </c>
      <c r="G273">
        <v>7988</v>
      </c>
      <c r="H273" s="38">
        <v>4313520</v>
      </c>
      <c r="I273" s="38">
        <v>230639</v>
      </c>
      <c r="J273">
        <v>1069.03</v>
      </c>
      <c r="K273">
        <v>0</v>
      </c>
      <c r="L273">
        <v>82.35</v>
      </c>
      <c r="M273">
        <v>1997</v>
      </c>
      <c r="N273">
        <v>90.97</v>
      </c>
      <c r="O273">
        <v>2217</v>
      </c>
      <c r="P273">
        <v>385.29</v>
      </c>
      <c r="Q273">
        <v>9091</v>
      </c>
      <c r="R273" s="56">
        <v>65.260000000000005</v>
      </c>
      <c r="S273" s="56">
        <v>72.69</v>
      </c>
      <c r="T273">
        <v>317480674</v>
      </c>
      <c r="U273">
        <v>317480674</v>
      </c>
      <c r="V273">
        <v>527.9</v>
      </c>
      <c r="W273">
        <v>5</v>
      </c>
    </row>
    <row r="274" spans="1:23" x14ac:dyDescent="0.55000000000000004">
      <c r="A274" s="1">
        <v>5</v>
      </c>
      <c r="B274" s="1">
        <v>11</v>
      </c>
      <c r="C274" s="1">
        <v>6219</v>
      </c>
      <c r="D274" t="s">
        <v>275</v>
      </c>
      <c r="E274">
        <v>2662</v>
      </c>
      <c r="F274">
        <v>166</v>
      </c>
      <c r="G274">
        <v>7988</v>
      </c>
      <c r="H274" s="38">
        <v>21264056</v>
      </c>
      <c r="I274" s="38">
        <v>0</v>
      </c>
      <c r="J274">
        <v>780.54</v>
      </c>
      <c r="K274">
        <v>0</v>
      </c>
      <c r="L274">
        <v>77.14</v>
      </c>
      <c r="M274">
        <v>0</v>
      </c>
      <c r="N274">
        <v>96.58</v>
      </c>
      <c r="O274">
        <v>0</v>
      </c>
      <c r="P274">
        <v>385.29</v>
      </c>
      <c r="Q274">
        <v>0</v>
      </c>
      <c r="R274" s="56">
        <v>65.34</v>
      </c>
      <c r="S274" s="56">
        <v>73.16</v>
      </c>
      <c r="T274">
        <v>581301792</v>
      </c>
      <c r="U274">
        <v>680558994</v>
      </c>
      <c r="V274">
        <v>2618.1999999999998</v>
      </c>
      <c r="W274">
        <v>196</v>
      </c>
    </row>
    <row r="275" spans="1:23" x14ac:dyDescent="0.55000000000000004">
      <c r="A275" s="1">
        <v>5</v>
      </c>
      <c r="B275" s="1">
        <v>40</v>
      </c>
      <c r="C275" s="1">
        <v>6246</v>
      </c>
      <c r="D275" t="s">
        <v>276</v>
      </c>
      <c r="E275">
        <v>137.1</v>
      </c>
      <c r="F275">
        <v>4</v>
      </c>
      <c r="G275">
        <v>8123</v>
      </c>
      <c r="H275" s="38">
        <v>1113663</v>
      </c>
      <c r="I275" s="38">
        <v>60198</v>
      </c>
      <c r="J275">
        <v>1350.85</v>
      </c>
      <c r="K275">
        <v>0</v>
      </c>
      <c r="L275">
        <v>66.33</v>
      </c>
      <c r="M275">
        <v>356</v>
      </c>
      <c r="N275">
        <v>75.010000000000005</v>
      </c>
      <c r="O275">
        <v>411</v>
      </c>
      <c r="P275">
        <v>385.29</v>
      </c>
      <c r="Q275">
        <v>2259</v>
      </c>
      <c r="R275" s="56">
        <v>65.34</v>
      </c>
      <c r="S275" s="56">
        <v>73.16</v>
      </c>
      <c r="T275">
        <v>106410300</v>
      </c>
      <c r="U275">
        <v>107762497</v>
      </c>
      <c r="V275">
        <v>142.1</v>
      </c>
      <c r="W275">
        <v>3</v>
      </c>
    </row>
    <row r="276" spans="1:23" x14ac:dyDescent="0.55000000000000004">
      <c r="A276" s="1">
        <v>7</v>
      </c>
      <c r="B276" s="1">
        <v>9</v>
      </c>
      <c r="C276" s="1">
        <v>6273</v>
      </c>
      <c r="D276" t="s">
        <v>277</v>
      </c>
      <c r="E276">
        <v>759</v>
      </c>
      <c r="F276">
        <v>4</v>
      </c>
      <c r="G276">
        <v>7988</v>
      </c>
      <c r="H276" s="38">
        <v>6062892</v>
      </c>
      <c r="I276" s="38">
        <v>81090</v>
      </c>
      <c r="J276">
        <v>949.67</v>
      </c>
      <c r="K276">
        <v>0</v>
      </c>
      <c r="L276">
        <v>77.55</v>
      </c>
      <c r="M276">
        <v>155</v>
      </c>
      <c r="N276">
        <v>73.56</v>
      </c>
      <c r="O276">
        <v>0</v>
      </c>
      <c r="P276">
        <v>385.29</v>
      </c>
      <c r="Q276">
        <v>775</v>
      </c>
      <c r="R276" s="56">
        <v>65.290000000000006</v>
      </c>
      <c r="S276" s="56">
        <v>72.78</v>
      </c>
      <c r="T276">
        <v>411460030</v>
      </c>
      <c r="U276">
        <v>415784669</v>
      </c>
      <c r="V276">
        <v>737.3</v>
      </c>
      <c r="W276">
        <v>4</v>
      </c>
    </row>
    <row r="277" spans="1:23" x14ac:dyDescent="0.55000000000000004">
      <c r="A277" s="1">
        <v>10</v>
      </c>
      <c r="B277" s="1">
        <v>16</v>
      </c>
      <c r="C277" s="1">
        <v>6408</v>
      </c>
      <c r="D277" t="s">
        <v>278</v>
      </c>
      <c r="E277">
        <v>756.5</v>
      </c>
      <c r="F277">
        <v>1</v>
      </c>
      <c r="G277">
        <v>7999</v>
      </c>
      <c r="H277" s="38">
        <v>6051244</v>
      </c>
      <c r="I277" s="38">
        <v>362713</v>
      </c>
      <c r="J277">
        <v>1208.6600000000001</v>
      </c>
      <c r="K277">
        <v>0</v>
      </c>
      <c r="L277">
        <v>72.430000000000007</v>
      </c>
      <c r="M277">
        <v>2557</v>
      </c>
      <c r="N277">
        <v>79.64</v>
      </c>
      <c r="O277">
        <v>2821</v>
      </c>
      <c r="P277">
        <v>385.29</v>
      </c>
      <c r="Q277">
        <v>14037</v>
      </c>
      <c r="R277" s="56">
        <v>64.98</v>
      </c>
      <c r="S277" s="56">
        <v>71.459999999999994</v>
      </c>
      <c r="T277">
        <v>376441593</v>
      </c>
      <c r="U277">
        <v>385812933</v>
      </c>
      <c r="V277">
        <v>752.7</v>
      </c>
      <c r="W277">
        <v>0</v>
      </c>
    </row>
    <row r="278" spans="1:23" x14ac:dyDescent="0.55000000000000004">
      <c r="A278" s="1">
        <v>13</v>
      </c>
      <c r="B278" s="1">
        <v>78</v>
      </c>
      <c r="C278" s="1">
        <v>6453</v>
      </c>
      <c r="D278" t="s">
        <v>279</v>
      </c>
      <c r="E278">
        <v>578.70000000000005</v>
      </c>
      <c r="F278">
        <v>13</v>
      </c>
      <c r="G278">
        <v>7988</v>
      </c>
      <c r="H278" s="38">
        <v>4622656</v>
      </c>
      <c r="I278" s="38">
        <v>0</v>
      </c>
      <c r="J278">
        <v>994.1</v>
      </c>
      <c r="K278">
        <v>0</v>
      </c>
      <c r="L278">
        <v>73.489999999999995</v>
      </c>
      <c r="M278">
        <v>0</v>
      </c>
      <c r="N278">
        <v>77.38</v>
      </c>
      <c r="O278">
        <v>0</v>
      </c>
      <c r="P278">
        <v>385.29</v>
      </c>
      <c r="Q278">
        <v>0</v>
      </c>
      <c r="R278" s="56">
        <v>64.989999999999995</v>
      </c>
      <c r="S278" s="56">
        <v>71.86</v>
      </c>
      <c r="T278">
        <v>298802346</v>
      </c>
      <c r="U278">
        <v>304652543</v>
      </c>
      <c r="V278">
        <v>593.9</v>
      </c>
      <c r="W278">
        <v>37</v>
      </c>
    </row>
    <row r="279" spans="1:23" x14ac:dyDescent="0.55000000000000004">
      <c r="A279" s="1">
        <v>13</v>
      </c>
      <c r="B279" s="1">
        <v>78</v>
      </c>
      <c r="C279" s="1">
        <v>6460</v>
      </c>
      <c r="D279" t="s">
        <v>280</v>
      </c>
      <c r="E279">
        <v>665.7</v>
      </c>
      <c r="F279">
        <v>6</v>
      </c>
      <c r="G279">
        <v>7988</v>
      </c>
      <c r="H279" s="38">
        <v>5317612</v>
      </c>
      <c r="I279" s="38">
        <v>0</v>
      </c>
      <c r="J279">
        <v>1053.68</v>
      </c>
      <c r="K279">
        <v>0</v>
      </c>
      <c r="L279">
        <v>77.27</v>
      </c>
      <c r="M279">
        <v>0</v>
      </c>
      <c r="N279">
        <v>76.75</v>
      </c>
      <c r="O279">
        <v>0</v>
      </c>
      <c r="P279">
        <v>385.29</v>
      </c>
      <c r="Q279">
        <v>0</v>
      </c>
      <c r="R279" s="56">
        <v>64.989999999999995</v>
      </c>
      <c r="S279" s="56">
        <v>71.86</v>
      </c>
      <c r="T279">
        <v>300678690</v>
      </c>
      <c r="U279">
        <v>325342067</v>
      </c>
      <c r="V279">
        <v>666.2</v>
      </c>
      <c r="W279">
        <v>4</v>
      </c>
    </row>
    <row r="280" spans="1:23" x14ac:dyDescent="0.55000000000000004">
      <c r="A280" s="1">
        <v>15</v>
      </c>
      <c r="B280" s="1">
        <v>54</v>
      </c>
      <c r="C280" s="1">
        <v>6462</v>
      </c>
      <c r="D280" t="s">
        <v>281</v>
      </c>
      <c r="E280">
        <v>239.8</v>
      </c>
      <c r="F280">
        <v>3</v>
      </c>
      <c r="G280">
        <v>7988</v>
      </c>
      <c r="H280" s="38">
        <v>1915522</v>
      </c>
      <c r="I280" s="38">
        <v>114292</v>
      </c>
      <c r="J280">
        <v>1422.4</v>
      </c>
      <c r="K280">
        <v>0</v>
      </c>
      <c r="L280">
        <v>73.27</v>
      </c>
      <c r="M280">
        <v>779</v>
      </c>
      <c r="N280">
        <v>91.6</v>
      </c>
      <c r="O280">
        <v>1036</v>
      </c>
      <c r="P280">
        <v>385.29</v>
      </c>
      <c r="Q280">
        <v>4211</v>
      </c>
      <c r="R280" s="56">
        <v>64.959999999999994</v>
      </c>
      <c r="S280" s="56">
        <v>71.430000000000007</v>
      </c>
      <c r="T280">
        <v>152662520</v>
      </c>
      <c r="U280">
        <v>156978434</v>
      </c>
      <c r="V280">
        <v>226.3</v>
      </c>
      <c r="W280">
        <v>5</v>
      </c>
    </row>
    <row r="281" spans="1:23" x14ac:dyDescent="0.55000000000000004">
      <c r="A281" s="1">
        <v>7</v>
      </c>
      <c r="B281" s="1">
        <v>9</v>
      </c>
      <c r="C281" s="1">
        <v>6471</v>
      </c>
      <c r="D281" t="s">
        <v>282</v>
      </c>
      <c r="E281">
        <v>383</v>
      </c>
      <c r="F281">
        <v>4</v>
      </c>
      <c r="G281">
        <v>7988</v>
      </c>
      <c r="H281" s="38">
        <v>3059404</v>
      </c>
      <c r="I281" s="38">
        <v>0</v>
      </c>
      <c r="J281">
        <v>1217.3699999999999</v>
      </c>
      <c r="K281">
        <v>0</v>
      </c>
      <c r="L281">
        <v>77.069999999999993</v>
      </c>
      <c r="M281">
        <v>0</v>
      </c>
      <c r="N281">
        <v>80.14</v>
      </c>
      <c r="O281">
        <v>0</v>
      </c>
      <c r="P281">
        <v>385.29</v>
      </c>
      <c r="Q281">
        <v>0</v>
      </c>
      <c r="R281" s="56">
        <v>65.290000000000006</v>
      </c>
      <c r="S281" s="56">
        <v>72.78</v>
      </c>
      <c r="T281">
        <v>164018670</v>
      </c>
      <c r="U281">
        <v>164018670</v>
      </c>
      <c r="V281">
        <v>372.3</v>
      </c>
      <c r="W281">
        <v>4</v>
      </c>
    </row>
    <row r="282" spans="1:23" x14ac:dyDescent="0.55000000000000004">
      <c r="A282" s="1">
        <v>1</v>
      </c>
      <c r="B282" s="1">
        <v>33</v>
      </c>
      <c r="C282" s="1">
        <v>6509</v>
      </c>
      <c r="D282" t="s">
        <v>283</v>
      </c>
      <c r="E282">
        <v>356.9</v>
      </c>
      <c r="F282">
        <v>44</v>
      </c>
      <c r="G282">
        <v>8115</v>
      </c>
      <c r="H282" s="38">
        <v>2896244</v>
      </c>
      <c r="I282" s="38">
        <v>0</v>
      </c>
      <c r="J282">
        <v>1118.3699999999999</v>
      </c>
      <c r="K282">
        <v>0</v>
      </c>
      <c r="L282">
        <v>83.69</v>
      </c>
      <c r="M282">
        <v>0</v>
      </c>
      <c r="N282">
        <v>64.48</v>
      </c>
      <c r="O282">
        <v>0</v>
      </c>
      <c r="P282">
        <v>385.29</v>
      </c>
      <c r="Q282">
        <v>0</v>
      </c>
      <c r="R282" s="56">
        <v>65.260000000000005</v>
      </c>
      <c r="S282" s="56">
        <v>72.69</v>
      </c>
      <c r="T282">
        <v>260819382</v>
      </c>
      <c r="U282">
        <v>260819382</v>
      </c>
      <c r="V282">
        <v>365.1</v>
      </c>
      <c r="W282">
        <v>53</v>
      </c>
    </row>
    <row r="283" spans="1:23" x14ac:dyDescent="0.55000000000000004">
      <c r="A283" s="1">
        <v>11</v>
      </c>
      <c r="B283" s="1">
        <v>63</v>
      </c>
      <c r="C283" s="1">
        <v>6512</v>
      </c>
      <c r="D283" t="s">
        <v>284</v>
      </c>
      <c r="E283">
        <v>291.8</v>
      </c>
      <c r="F283">
        <v>10</v>
      </c>
      <c r="G283">
        <v>7998</v>
      </c>
      <c r="H283" s="38">
        <v>2333816</v>
      </c>
      <c r="I283" s="38">
        <v>154462</v>
      </c>
      <c r="J283">
        <v>1490.43</v>
      </c>
      <c r="K283">
        <v>0</v>
      </c>
      <c r="L283">
        <v>78.17</v>
      </c>
      <c r="M283">
        <v>951</v>
      </c>
      <c r="N283">
        <v>90.31</v>
      </c>
      <c r="O283">
        <v>1130</v>
      </c>
      <c r="P283">
        <v>385.29</v>
      </c>
      <c r="Q283">
        <v>4671</v>
      </c>
      <c r="R283" s="56">
        <v>64.86</v>
      </c>
      <c r="S283" s="56">
        <v>71.28</v>
      </c>
      <c r="T283">
        <v>150594489</v>
      </c>
      <c r="U283">
        <v>150594489</v>
      </c>
      <c r="V283">
        <v>273.8</v>
      </c>
      <c r="W283">
        <v>15</v>
      </c>
    </row>
    <row r="284" spans="1:23" x14ac:dyDescent="0.55000000000000004">
      <c r="A284" s="1">
        <v>5</v>
      </c>
      <c r="B284" s="1">
        <v>46</v>
      </c>
      <c r="C284" s="1">
        <v>6516</v>
      </c>
      <c r="D284" t="s">
        <v>285</v>
      </c>
      <c r="E284">
        <v>162</v>
      </c>
      <c r="F284">
        <v>14</v>
      </c>
      <c r="G284">
        <v>8123</v>
      </c>
      <c r="H284" s="38">
        <v>1315926</v>
      </c>
      <c r="I284" s="38">
        <v>0</v>
      </c>
      <c r="J284">
        <v>1294.4000000000001</v>
      </c>
      <c r="K284">
        <v>0</v>
      </c>
      <c r="L284">
        <v>76.22</v>
      </c>
      <c r="M284">
        <v>0</v>
      </c>
      <c r="N284">
        <v>76.52</v>
      </c>
      <c r="O284">
        <v>0</v>
      </c>
      <c r="P284">
        <v>385.29</v>
      </c>
      <c r="Q284">
        <v>0</v>
      </c>
      <c r="R284" s="56">
        <v>65.34</v>
      </c>
      <c r="S284" s="56">
        <v>73.16</v>
      </c>
      <c r="T284">
        <v>183537411</v>
      </c>
      <c r="U284">
        <v>184286948</v>
      </c>
      <c r="V284">
        <v>152</v>
      </c>
      <c r="W284">
        <v>18</v>
      </c>
    </row>
    <row r="285" spans="1:23" x14ac:dyDescent="0.55000000000000004">
      <c r="A285" s="1">
        <v>13</v>
      </c>
      <c r="B285" s="1">
        <v>78</v>
      </c>
      <c r="C285" s="1">
        <v>6534</v>
      </c>
      <c r="D285" t="s">
        <v>286</v>
      </c>
      <c r="E285">
        <v>725.2</v>
      </c>
      <c r="F285">
        <v>34</v>
      </c>
      <c r="G285">
        <v>7988</v>
      </c>
      <c r="H285" s="38">
        <v>5792898</v>
      </c>
      <c r="I285" s="38">
        <v>11200</v>
      </c>
      <c r="J285">
        <v>950.42</v>
      </c>
      <c r="K285">
        <v>0</v>
      </c>
      <c r="L285">
        <v>68.77</v>
      </c>
      <c r="M285">
        <v>0</v>
      </c>
      <c r="N285">
        <v>75.75</v>
      </c>
      <c r="O285">
        <v>0</v>
      </c>
      <c r="P285">
        <v>385.29</v>
      </c>
      <c r="Q285">
        <v>0</v>
      </c>
      <c r="R285" s="56">
        <v>64.989999999999995</v>
      </c>
      <c r="S285" s="56">
        <v>71.86</v>
      </c>
      <c r="T285">
        <v>354184918</v>
      </c>
      <c r="U285">
        <v>362545686</v>
      </c>
      <c r="V285">
        <v>706.5</v>
      </c>
      <c r="W285">
        <v>40</v>
      </c>
    </row>
    <row r="286" spans="1:23" x14ac:dyDescent="0.55000000000000004">
      <c r="A286" s="1">
        <v>7</v>
      </c>
      <c r="B286" s="1">
        <v>86</v>
      </c>
      <c r="C286" s="1">
        <v>6536</v>
      </c>
      <c r="D286" t="s">
        <v>287</v>
      </c>
      <c r="E286">
        <v>908.9</v>
      </c>
      <c r="F286">
        <v>18</v>
      </c>
      <c r="G286">
        <v>8030</v>
      </c>
      <c r="H286" s="38">
        <v>7298467</v>
      </c>
      <c r="I286" s="38">
        <v>214327</v>
      </c>
      <c r="J286">
        <v>1035.68</v>
      </c>
      <c r="K286">
        <v>0</v>
      </c>
      <c r="L286">
        <v>64.14</v>
      </c>
      <c r="M286">
        <v>526</v>
      </c>
      <c r="N286">
        <v>76.19</v>
      </c>
      <c r="O286">
        <v>764</v>
      </c>
      <c r="P286">
        <v>385.29</v>
      </c>
      <c r="Q286">
        <v>4674</v>
      </c>
      <c r="R286" s="56">
        <v>65.290000000000006</v>
      </c>
      <c r="S286" s="56">
        <v>72.78</v>
      </c>
      <c r="T286">
        <v>493516181</v>
      </c>
      <c r="U286">
        <v>504554525</v>
      </c>
      <c r="V286">
        <v>915</v>
      </c>
      <c r="W286">
        <v>33</v>
      </c>
    </row>
    <row r="287" spans="1:23" x14ac:dyDescent="0.55000000000000004">
      <c r="A287" s="1">
        <v>11</v>
      </c>
      <c r="B287" s="1">
        <v>8</v>
      </c>
      <c r="C287" s="1">
        <v>6561</v>
      </c>
      <c r="D287" t="s">
        <v>288</v>
      </c>
      <c r="E287">
        <v>364.7</v>
      </c>
      <c r="F287">
        <v>6</v>
      </c>
      <c r="G287">
        <v>7988</v>
      </c>
      <c r="H287" s="38">
        <v>2913224</v>
      </c>
      <c r="I287" s="38">
        <v>0</v>
      </c>
      <c r="J287">
        <v>1465.63</v>
      </c>
      <c r="K287">
        <v>0</v>
      </c>
      <c r="L287">
        <v>55</v>
      </c>
      <c r="M287">
        <v>0</v>
      </c>
      <c r="N287">
        <v>80.95</v>
      </c>
      <c r="O287">
        <v>0</v>
      </c>
      <c r="P287">
        <v>385.29</v>
      </c>
      <c r="Q287">
        <v>0</v>
      </c>
      <c r="R287" s="56">
        <v>64.86</v>
      </c>
      <c r="S287" s="56">
        <v>71.28</v>
      </c>
      <c r="T287">
        <v>399695417</v>
      </c>
      <c r="U287">
        <v>434599747</v>
      </c>
      <c r="V287">
        <v>314.2</v>
      </c>
      <c r="W287">
        <v>5</v>
      </c>
    </row>
    <row r="288" spans="1:23" x14ac:dyDescent="0.55000000000000004">
      <c r="A288" s="1">
        <v>11</v>
      </c>
      <c r="B288" s="1">
        <v>77</v>
      </c>
      <c r="C288" s="1">
        <v>6579</v>
      </c>
      <c r="D288" t="s">
        <v>289</v>
      </c>
      <c r="E288">
        <v>3457.3</v>
      </c>
      <c r="F288">
        <v>261</v>
      </c>
      <c r="G288">
        <v>7988</v>
      </c>
      <c r="H288" s="38">
        <v>27616912</v>
      </c>
      <c r="I288" s="38">
        <v>0</v>
      </c>
      <c r="J288">
        <v>753.19</v>
      </c>
      <c r="K288">
        <v>0</v>
      </c>
      <c r="L288">
        <v>81.16</v>
      </c>
      <c r="M288">
        <v>0</v>
      </c>
      <c r="N288">
        <v>79.55</v>
      </c>
      <c r="O288">
        <v>0</v>
      </c>
      <c r="P288">
        <v>385.29</v>
      </c>
      <c r="Q288">
        <v>0</v>
      </c>
      <c r="R288" s="56">
        <v>64.86</v>
      </c>
      <c r="S288" s="56">
        <v>71.28</v>
      </c>
      <c r="T288">
        <v>1654510046</v>
      </c>
      <c r="U288">
        <v>1815820702</v>
      </c>
      <c r="V288">
        <v>3339.6</v>
      </c>
      <c r="W288">
        <v>476</v>
      </c>
    </row>
    <row r="289" spans="1:23" x14ac:dyDescent="0.55000000000000004">
      <c r="A289" s="1">
        <v>15</v>
      </c>
      <c r="B289" s="1">
        <v>89</v>
      </c>
      <c r="C289" s="1">
        <v>6592</v>
      </c>
      <c r="D289" t="s">
        <v>290</v>
      </c>
      <c r="E289">
        <v>952.3</v>
      </c>
      <c r="F289">
        <v>8</v>
      </c>
      <c r="G289">
        <v>7988</v>
      </c>
      <c r="H289" s="38">
        <v>7606972</v>
      </c>
      <c r="I289" s="38">
        <v>0</v>
      </c>
      <c r="J289">
        <v>1010.4</v>
      </c>
      <c r="K289">
        <v>0</v>
      </c>
      <c r="L289">
        <v>68.97</v>
      </c>
      <c r="M289">
        <v>0</v>
      </c>
      <c r="N289">
        <v>82.83</v>
      </c>
      <c r="O289">
        <v>0</v>
      </c>
      <c r="P289">
        <v>385.29</v>
      </c>
      <c r="Q289">
        <v>0</v>
      </c>
      <c r="R289" s="56">
        <v>64.959999999999994</v>
      </c>
      <c r="S289" s="56">
        <v>71.430000000000007</v>
      </c>
      <c r="T289">
        <v>530839353</v>
      </c>
      <c r="U289">
        <v>530839353</v>
      </c>
      <c r="V289">
        <v>945.3</v>
      </c>
      <c r="W289">
        <v>5</v>
      </c>
    </row>
    <row r="290" spans="1:23" x14ac:dyDescent="0.55000000000000004">
      <c r="A290" s="1">
        <v>11</v>
      </c>
      <c r="B290" s="1">
        <v>25</v>
      </c>
      <c r="C290" s="1">
        <v>6615</v>
      </c>
      <c r="D290" t="s">
        <v>291</v>
      </c>
      <c r="E290">
        <v>960.5</v>
      </c>
      <c r="F290">
        <v>8</v>
      </c>
      <c r="G290">
        <v>7988</v>
      </c>
      <c r="H290" s="38">
        <v>7672474</v>
      </c>
      <c r="I290" s="38">
        <v>0</v>
      </c>
      <c r="J290">
        <v>825.97</v>
      </c>
      <c r="K290">
        <v>0</v>
      </c>
      <c r="L290">
        <v>73.55</v>
      </c>
      <c r="M290">
        <v>0</v>
      </c>
      <c r="N290">
        <v>77.77</v>
      </c>
      <c r="O290">
        <v>0</v>
      </c>
      <c r="P290">
        <v>385.29</v>
      </c>
      <c r="Q290">
        <v>0</v>
      </c>
      <c r="R290" s="56">
        <v>64.86</v>
      </c>
      <c r="S290" s="56">
        <v>71.28</v>
      </c>
      <c r="T290">
        <v>379426869</v>
      </c>
      <c r="U290">
        <v>399392415</v>
      </c>
      <c r="V290">
        <v>983.8</v>
      </c>
      <c r="W290">
        <v>54</v>
      </c>
    </row>
    <row r="291" spans="1:23" x14ac:dyDescent="0.55000000000000004">
      <c r="A291" s="1">
        <v>13</v>
      </c>
      <c r="B291" s="1">
        <v>69</v>
      </c>
      <c r="C291" s="1">
        <v>6651</v>
      </c>
      <c r="D291" t="s">
        <v>292</v>
      </c>
      <c r="E291">
        <v>272</v>
      </c>
      <c r="F291">
        <v>0</v>
      </c>
      <c r="G291">
        <v>7988</v>
      </c>
      <c r="H291" s="38">
        <v>2172736</v>
      </c>
      <c r="I291" s="38">
        <v>56265</v>
      </c>
      <c r="J291">
        <v>1303.55</v>
      </c>
      <c r="K291">
        <v>0</v>
      </c>
      <c r="L291">
        <v>75.680000000000007</v>
      </c>
      <c r="M291">
        <v>328</v>
      </c>
      <c r="N291">
        <v>85.6</v>
      </c>
      <c r="O291">
        <v>388</v>
      </c>
      <c r="P291">
        <v>385.29</v>
      </c>
      <c r="Q291">
        <v>1724</v>
      </c>
      <c r="R291" s="56">
        <v>64.989999999999995</v>
      </c>
      <c r="S291" s="56">
        <v>71.86</v>
      </c>
      <c r="T291">
        <v>181142360</v>
      </c>
      <c r="U291">
        <v>181142360</v>
      </c>
      <c r="V291">
        <v>278</v>
      </c>
      <c r="W291">
        <v>0</v>
      </c>
    </row>
    <row r="292" spans="1:23" x14ac:dyDescent="0.55000000000000004">
      <c r="A292" s="1">
        <v>10</v>
      </c>
      <c r="B292" s="1">
        <v>6</v>
      </c>
      <c r="C292" s="1">
        <v>6660</v>
      </c>
      <c r="D292" t="s">
        <v>293</v>
      </c>
      <c r="E292">
        <v>1625</v>
      </c>
      <c r="F292">
        <v>6</v>
      </c>
      <c r="G292">
        <v>7988</v>
      </c>
      <c r="H292" s="38">
        <v>12980500</v>
      </c>
      <c r="I292" s="38">
        <v>0</v>
      </c>
      <c r="J292">
        <v>882.55</v>
      </c>
      <c r="K292">
        <v>0</v>
      </c>
      <c r="L292">
        <v>79.53</v>
      </c>
      <c r="M292">
        <v>0</v>
      </c>
      <c r="N292">
        <v>78.28</v>
      </c>
      <c r="O292">
        <v>0</v>
      </c>
      <c r="P292">
        <v>385.29</v>
      </c>
      <c r="Q292">
        <v>0</v>
      </c>
      <c r="R292" s="56">
        <v>64.98</v>
      </c>
      <c r="S292" s="56">
        <v>71.459999999999994</v>
      </c>
      <c r="T292">
        <v>652443269</v>
      </c>
      <c r="U292">
        <v>658945424</v>
      </c>
      <c r="V292">
        <v>1600.6</v>
      </c>
      <c r="W292">
        <v>14</v>
      </c>
    </row>
    <row r="293" spans="1:23" x14ac:dyDescent="0.55000000000000004">
      <c r="A293" s="1">
        <v>15</v>
      </c>
      <c r="B293" s="1">
        <v>44</v>
      </c>
      <c r="C293" s="1">
        <v>6700</v>
      </c>
      <c r="D293" t="s">
        <v>294</v>
      </c>
      <c r="E293">
        <v>482.9</v>
      </c>
      <c r="F293">
        <v>2</v>
      </c>
      <c r="G293">
        <v>8072</v>
      </c>
      <c r="H293" s="38">
        <v>3897969</v>
      </c>
      <c r="I293" s="38">
        <v>0</v>
      </c>
      <c r="J293">
        <v>1706.5</v>
      </c>
      <c r="K293">
        <v>0</v>
      </c>
      <c r="L293">
        <v>81.680000000000007</v>
      </c>
      <c r="M293">
        <v>0</v>
      </c>
      <c r="N293">
        <v>83.14</v>
      </c>
      <c r="O293">
        <v>0</v>
      </c>
      <c r="P293">
        <v>385.29</v>
      </c>
      <c r="Q293">
        <v>0</v>
      </c>
      <c r="R293" s="56">
        <v>64.959999999999994</v>
      </c>
      <c r="S293" s="56">
        <v>71.430000000000007</v>
      </c>
      <c r="T293">
        <v>199359985</v>
      </c>
      <c r="U293">
        <v>203289231</v>
      </c>
      <c r="V293">
        <v>481.6</v>
      </c>
      <c r="W293">
        <v>6</v>
      </c>
    </row>
    <row r="294" spans="1:23" x14ac:dyDescent="0.55000000000000004">
      <c r="A294" s="1">
        <v>15</v>
      </c>
      <c r="B294" s="1">
        <v>58</v>
      </c>
      <c r="C294" s="1">
        <v>6759</v>
      </c>
      <c r="D294" t="s">
        <v>295</v>
      </c>
      <c r="E294">
        <v>523.29999999999995</v>
      </c>
      <c r="F294">
        <v>0</v>
      </c>
      <c r="G294">
        <v>7988</v>
      </c>
      <c r="H294" s="38">
        <v>4180120</v>
      </c>
      <c r="I294" s="38">
        <v>0</v>
      </c>
      <c r="J294">
        <v>1122.75</v>
      </c>
      <c r="K294">
        <v>0</v>
      </c>
      <c r="L294">
        <v>75.489999999999995</v>
      </c>
      <c r="M294">
        <v>0</v>
      </c>
      <c r="N294">
        <v>89.52</v>
      </c>
      <c r="O294">
        <v>0</v>
      </c>
      <c r="P294">
        <v>385.29</v>
      </c>
      <c r="Q294">
        <v>0</v>
      </c>
      <c r="R294" s="56">
        <v>64.959999999999994</v>
      </c>
      <c r="S294" s="56">
        <v>71.430000000000007</v>
      </c>
      <c r="T294">
        <v>256979736</v>
      </c>
      <c r="U294">
        <v>257623900</v>
      </c>
      <c r="V294">
        <v>506.3</v>
      </c>
      <c r="W294">
        <v>3</v>
      </c>
    </row>
    <row r="295" spans="1:23" x14ac:dyDescent="0.55000000000000004">
      <c r="A295" s="1">
        <v>7</v>
      </c>
      <c r="B295" s="1">
        <v>9</v>
      </c>
      <c r="C295" s="1">
        <v>6762</v>
      </c>
      <c r="D295" t="s">
        <v>296</v>
      </c>
      <c r="E295">
        <v>586.1</v>
      </c>
      <c r="F295">
        <v>27</v>
      </c>
      <c r="G295">
        <v>7994</v>
      </c>
      <c r="H295" s="38">
        <v>4685283</v>
      </c>
      <c r="I295" s="38">
        <v>379762</v>
      </c>
      <c r="J295">
        <v>1025.33</v>
      </c>
      <c r="K295">
        <v>0</v>
      </c>
      <c r="L295">
        <v>76.97</v>
      </c>
      <c r="M295">
        <v>2373</v>
      </c>
      <c r="N295">
        <v>81.47</v>
      </c>
      <c r="O295">
        <v>2478</v>
      </c>
      <c r="P295">
        <v>385.29</v>
      </c>
      <c r="Q295">
        <v>11916</v>
      </c>
      <c r="R295" s="56">
        <v>65.290000000000006</v>
      </c>
      <c r="S295" s="56">
        <v>72.78</v>
      </c>
      <c r="T295">
        <v>271594871</v>
      </c>
      <c r="U295">
        <v>275265175</v>
      </c>
      <c r="V295">
        <v>598.1</v>
      </c>
      <c r="W295">
        <v>41</v>
      </c>
    </row>
    <row r="296" spans="1:23" x14ac:dyDescent="0.55000000000000004">
      <c r="A296" s="1">
        <v>10</v>
      </c>
      <c r="B296" s="1">
        <v>92</v>
      </c>
      <c r="C296" s="1">
        <v>6768</v>
      </c>
      <c r="D296" t="s">
        <v>297</v>
      </c>
      <c r="E296">
        <v>1610.1</v>
      </c>
      <c r="F296">
        <v>91</v>
      </c>
      <c r="G296">
        <v>7988</v>
      </c>
      <c r="H296" s="38">
        <v>12861479</v>
      </c>
      <c r="I296" s="38">
        <v>164741</v>
      </c>
      <c r="J296">
        <v>1157.71</v>
      </c>
      <c r="K296">
        <v>0</v>
      </c>
      <c r="L296">
        <v>76.34</v>
      </c>
      <c r="M296">
        <v>0</v>
      </c>
      <c r="N296">
        <v>84.55</v>
      </c>
      <c r="O296">
        <v>0</v>
      </c>
      <c r="P296">
        <v>385.29</v>
      </c>
      <c r="Q296">
        <v>0</v>
      </c>
      <c r="R296" s="56">
        <v>64.98</v>
      </c>
      <c r="S296" s="56">
        <v>71.459999999999994</v>
      </c>
      <c r="T296">
        <v>575138777</v>
      </c>
      <c r="U296">
        <v>590808076</v>
      </c>
      <c r="V296">
        <v>1577</v>
      </c>
      <c r="W296">
        <v>117</v>
      </c>
    </row>
    <row r="297" spans="1:23" x14ac:dyDescent="0.55000000000000004">
      <c r="A297" s="1">
        <v>7</v>
      </c>
      <c r="B297" s="1">
        <v>7</v>
      </c>
      <c r="C297" s="1">
        <v>6795</v>
      </c>
      <c r="D297" t="s">
        <v>298</v>
      </c>
      <c r="E297">
        <v>10812.4</v>
      </c>
      <c r="F297">
        <v>955</v>
      </c>
      <c r="G297">
        <v>7988</v>
      </c>
      <c r="H297" s="38">
        <v>86369451</v>
      </c>
      <c r="I297" s="38">
        <v>0</v>
      </c>
      <c r="J297">
        <v>729.94</v>
      </c>
      <c r="K297">
        <v>0</v>
      </c>
      <c r="L297">
        <v>73.930000000000007</v>
      </c>
      <c r="M297">
        <v>0</v>
      </c>
      <c r="N297">
        <v>92.2</v>
      </c>
      <c r="O297">
        <v>0</v>
      </c>
      <c r="P297">
        <v>385.29</v>
      </c>
      <c r="Q297">
        <v>0</v>
      </c>
      <c r="R297" s="56">
        <v>65.290000000000006</v>
      </c>
      <c r="S297" s="56">
        <v>72.78</v>
      </c>
      <c r="T297">
        <v>2843161139</v>
      </c>
      <c r="U297">
        <v>3511960445</v>
      </c>
      <c r="V297">
        <v>10524.2</v>
      </c>
      <c r="W297">
        <v>1354</v>
      </c>
    </row>
    <row r="298" spans="1:23" x14ac:dyDescent="0.55000000000000004">
      <c r="A298" s="1">
        <v>11</v>
      </c>
      <c r="B298" s="1">
        <v>25</v>
      </c>
      <c r="C298" s="1">
        <v>6822</v>
      </c>
      <c r="D298" t="s">
        <v>299</v>
      </c>
      <c r="E298">
        <v>14016.7</v>
      </c>
      <c r="F298">
        <v>576</v>
      </c>
      <c r="G298">
        <v>7988</v>
      </c>
      <c r="H298" s="38">
        <v>111965400</v>
      </c>
      <c r="I298" s="38">
        <v>0</v>
      </c>
      <c r="J298">
        <v>713.33</v>
      </c>
      <c r="K298">
        <v>0</v>
      </c>
      <c r="L298">
        <v>64.73</v>
      </c>
      <c r="M298">
        <v>0</v>
      </c>
      <c r="N298">
        <v>80.62</v>
      </c>
      <c r="O298">
        <v>0</v>
      </c>
      <c r="P298">
        <v>385.29</v>
      </c>
      <c r="Q298">
        <v>0</v>
      </c>
      <c r="R298" s="56">
        <v>64.86</v>
      </c>
      <c r="S298" s="56">
        <v>71.28</v>
      </c>
      <c r="T298">
        <v>6877570100</v>
      </c>
      <c r="U298">
        <v>8186319345</v>
      </c>
      <c r="V298">
        <v>14411.6</v>
      </c>
      <c r="W298">
        <v>1501</v>
      </c>
    </row>
    <row r="299" spans="1:23" x14ac:dyDescent="0.55000000000000004">
      <c r="A299" s="1">
        <v>7</v>
      </c>
      <c r="B299" s="1">
        <v>9</v>
      </c>
      <c r="C299" s="1">
        <v>6840</v>
      </c>
      <c r="D299" t="s">
        <v>300</v>
      </c>
      <c r="E299">
        <v>2167.6</v>
      </c>
      <c r="F299">
        <v>130</v>
      </c>
      <c r="G299">
        <v>7988</v>
      </c>
      <c r="H299" s="38">
        <v>17314789</v>
      </c>
      <c r="I299" s="38">
        <v>0</v>
      </c>
      <c r="J299">
        <v>773.33</v>
      </c>
      <c r="K299">
        <v>0</v>
      </c>
      <c r="L299">
        <v>80.84</v>
      </c>
      <c r="M299">
        <v>0</v>
      </c>
      <c r="N299">
        <v>71.45</v>
      </c>
      <c r="O299">
        <v>0</v>
      </c>
      <c r="P299">
        <v>385.29</v>
      </c>
      <c r="Q299">
        <v>0</v>
      </c>
      <c r="R299" s="56">
        <v>65.290000000000006</v>
      </c>
      <c r="S299" s="56">
        <v>72.78</v>
      </c>
      <c r="T299">
        <v>917093567</v>
      </c>
      <c r="U299">
        <v>1052810635</v>
      </c>
      <c r="V299">
        <v>2054.9</v>
      </c>
      <c r="W299">
        <v>209</v>
      </c>
    </row>
    <row r="300" spans="1:23" x14ac:dyDescent="0.55000000000000004">
      <c r="A300" s="1">
        <v>15</v>
      </c>
      <c r="B300" s="1">
        <v>93</v>
      </c>
      <c r="C300" s="1">
        <v>6854</v>
      </c>
      <c r="D300" t="s">
        <v>301</v>
      </c>
      <c r="E300">
        <v>548.4</v>
      </c>
      <c r="F300">
        <v>0</v>
      </c>
      <c r="G300">
        <v>7988</v>
      </c>
      <c r="H300" s="38">
        <v>4380619</v>
      </c>
      <c r="I300" s="38">
        <v>131133</v>
      </c>
      <c r="J300">
        <v>1383.62</v>
      </c>
      <c r="K300">
        <v>0</v>
      </c>
      <c r="L300">
        <v>87.87</v>
      </c>
      <c r="M300">
        <v>1101</v>
      </c>
      <c r="N300">
        <v>89.23</v>
      </c>
      <c r="O300">
        <v>1051</v>
      </c>
      <c r="P300">
        <v>385.29</v>
      </c>
      <c r="Q300">
        <v>4321</v>
      </c>
      <c r="R300" s="56">
        <v>64.959999999999994</v>
      </c>
      <c r="S300" s="56">
        <v>71.430000000000007</v>
      </c>
      <c r="T300">
        <v>319050503</v>
      </c>
      <c r="U300">
        <v>319050503</v>
      </c>
      <c r="V300">
        <v>577.20000000000005</v>
      </c>
      <c r="W300">
        <v>0</v>
      </c>
    </row>
    <row r="301" spans="1:23" x14ac:dyDescent="0.55000000000000004">
      <c r="A301" s="1">
        <v>5</v>
      </c>
      <c r="B301" s="1">
        <v>40</v>
      </c>
      <c r="C301" s="1">
        <v>6867</v>
      </c>
      <c r="D301" t="s">
        <v>302</v>
      </c>
      <c r="E301">
        <v>1745.2</v>
      </c>
      <c r="F301">
        <v>69</v>
      </c>
      <c r="G301">
        <v>7988</v>
      </c>
      <c r="H301" s="38">
        <v>13940658</v>
      </c>
      <c r="I301" s="38">
        <v>0</v>
      </c>
      <c r="J301">
        <v>861.58</v>
      </c>
      <c r="K301">
        <v>0</v>
      </c>
      <c r="L301">
        <v>77.61</v>
      </c>
      <c r="M301">
        <v>0</v>
      </c>
      <c r="N301">
        <v>85.77</v>
      </c>
      <c r="O301">
        <v>0</v>
      </c>
      <c r="P301">
        <v>385.29</v>
      </c>
      <c r="Q301">
        <v>0</v>
      </c>
      <c r="R301" s="56">
        <v>65.34</v>
      </c>
      <c r="S301" s="56">
        <v>73.16</v>
      </c>
      <c r="T301">
        <v>836722075</v>
      </c>
      <c r="U301">
        <v>856048634</v>
      </c>
      <c r="V301">
        <v>1731.4</v>
      </c>
      <c r="W301">
        <v>93</v>
      </c>
    </row>
    <row r="302" spans="1:23" x14ac:dyDescent="0.55000000000000004">
      <c r="A302" s="1">
        <v>5</v>
      </c>
      <c r="B302" s="1">
        <v>74</v>
      </c>
      <c r="C302" s="1">
        <v>6921</v>
      </c>
      <c r="D302" t="s">
        <v>303</v>
      </c>
      <c r="E302">
        <v>329.2</v>
      </c>
      <c r="F302">
        <v>33</v>
      </c>
      <c r="G302">
        <v>8000</v>
      </c>
      <c r="H302" s="38">
        <v>2633600</v>
      </c>
      <c r="I302" s="38">
        <v>60478</v>
      </c>
      <c r="J302">
        <v>1498.34</v>
      </c>
      <c r="K302">
        <v>0</v>
      </c>
      <c r="L302">
        <v>81.83</v>
      </c>
      <c r="M302">
        <v>0</v>
      </c>
      <c r="N302">
        <v>74.59</v>
      </c>
      <c r="O302">
        <v>0</v>
      </c>
      <c r="P302">
        <v>385.29</v>
      </c>
      <c r="Q302">
        <v>0</v>
      </c>
      <c r="R302" s="56">
        <v>65.34</v>
      </c>
      <c r="S302" s="56">
        <v>73.16</v>
      </c>
      <c r="T302">
        <v>267258793</v>
      </c>
      <c r="U302">
        <v>271082532</v>
      </c>
      <c r="V302">
        <v>336.4</v>
      </c>
      <c r="W302">
        <v>34</v>
      </c>
    </row>
    <row r="303" spans="1:23" x14ac:dyDescent="0.55000000000000004">
      <c r="A303" s="1">
        <v>10</v>
      </c>
      <c r="B303" s="1">
        <v>16</v>
      </c>
      <c r="C303" s="1">
        <v>6930</v>
      </c>
      <c r="D303" t="s">
        <v>304</v>
      </c>
      <c r="E303">
        <v>795.9</v>
      </c>
      <c r="F303">
        <v>13</v>
      </c>
      <c r="G303">
        <v>7988</v>
      </c>
      <c r="H303" s="38">
        <v>6357649</v>
      </c>
      <c r="I303" s="38">
        <v>0</v>
      </c>
      <c r="J303">
        <v>949.11</v>
      </c>
      <c r="K303">
        <v>0</v>
      </c>
      <c r="L303">
        <v>72.84</v>
      </c>
      <c r="M303">
        <v>0</v>
      </c>
      <c r="N303">
        <v>75.17</v>
      </c>
      <c r="O303">
        <v>0</v>
      </c>
      <c r="P303">
        <v>385.29</v>
      </c>
      <c r="Q303">
        <v>0</v>
      </c>
      <c r="R303" s="56">
        <v>64.98</v>
      </c>
      <c r="S303" s="56">
        <v>71.459999999999994</v>
      </c>
      <c r="T303">
        <v>482137745</v>
      </c>
      <c r="U303">
        <v>504507348</v>
      </c>
      <c r="V303">
        <v>818.2</v>
      </c>
      <c r="W303">
        <v>8</v>
      </c>
    </row>
    <row r="304" spans="1:23" x14ac:dyDescent="0.55000000000000004">
      <c r="A304" s="1">
        <v>15</v>
      </c>
      <c r="B304" s="1">
        <v>29</v>
      </c>
      <c r="C304" s="1">
        <v>6937</v>
      </c>
      <c r="D304" t="s">
        <v>305</v>
      </c>
      <c r="E304">
        <v>386</v>
      </c>
      <c r="F304">
        <v>11</v>
      </c>
      <c r="G304">
        <v>7988</v>
      </c>
      <c r="H304" s="38">
        <v>3083368</v>
      </c>
      <c r="I304" s="38">
        <v>0</v>
      </c>
      <c r="J304">
        <v>1412.1</v>
      </c>
      <c r="K304">
        <v>0</v>
      </c>
      <c r="L304">
        <v>103.25</v>
      </c>
      <c r="M304">
        <v>0</v>
      </c>
      <c r="N304">
        <v>128.46</v>
      </c>
      <c r="O304">
        <v>0</v>
      </c>
      <c r="P304">
        <v>385.29</v>
      </c>
      <c r="Q304">
        <v>0</v>
      </c>
      <c r="R304" s="56">
        <v>64.959999999999994</v>
      </c>
      <c r="S304" s="56">
        <v>71.430000000000007</v>
      </c>
      <c r="T304">
        <v>187338007</v>
      </c>
      <c r="U304">
        <v>215667104</v>
      </c>
      <c r="V304">
        <v>395</v>
      </c>
      <c r="W304">
        <v>15</v>
      </c>
    </row>
    <row r="305" spans="1:23" x14ac:dyDescent="0.55000000000000004">
      <c r="A305" s="1">
        <v>1</v>
      </c>
      <c r="B305" s="1">
        <v>33</v>
      </c>
      <c r="C305" s="1">
        <v>6943</v>
      </c>
      <c r="D305" t="s">
        <v>306</v>
      </c>
      <c r="E305">
        <v>265.60000000000002</v>
      </c>
      <c r="F305">
        <v>0</v>
      </c>
      <c r="G305">
        <v>7988</v>
      </c>
      <c r="H305" s="38">
        <v>2121613</v>
      </c>
      <c r="I305" s="38">
        <v>0</v>
      </c>
      <c r="J305">
        <v>1780.52</v>
      </c>
      <c r="K305">
        <v>0</v>
      </c>
      <c r="L305">
        <v>76.62</v>
      </c>
      <c r="M305">
        <v>0</v>
      </c>
      <c r="N305">
        <v>72.61</v>
      </c>
      <c r="O305">
        <v>0</v>
      </c>
      <c r="P305">
        <v>385.29</v>
      </c>
      <c r="Q305">
        <v>0</v>
      </c>
      <c r="R305" s="56">
        <v>65.260000000000005</v>
      </c>
      <c r="S305" s="56">
        <v>72.69</v>
      </c>
      <c r="T305">
        <v>196321196</v>
      </c>
      <c r="U305">
        <v>196321196</v>
      </c>
      <c r="V305">
        <v>250.6</v>
      </c>
      <c r="W305">
        <v>2</v>
      </c>
    </row>
    <row r="306" spans="1:23" x14ac:dyDescent="0.55000000000000004">
      <c r="A306" s="1">
        <v>11</v>
      </c>
      <c r="B306" s="1">
        <v>25</v>
      </c>
      <c r="C306" s="1">
        <v>6264</v>
      </c>
      <c r="D306" t="s">
        <v>307</v>
      </c>
      <c r="E306">
        <v>954.6</v>
      </c>
      <c r="F306">
        <v>1</v>
      </c>
      <c r="G306">
        <v>8014</v>
      </c>
      <c r="H306" s="38">
        <v>7650164</v>
      </c>
      <c r="I306" s="38">
        <v>0</v>
      </c>
      <c r="J306">
        <v>944.69</v>
      </c>
      <c r="K306">
        <v>0</v>
      </c>
      <c r="L306">
        <v>70.03</v>
      </c>
      <c r="M306">
        <v>0</v>
      </c>
      <c r="N306">
        <v>77.2</v>
      </c>
      <c r="O306">
        <v>0</v>
      </c>
      <c r="P306">
        <v>385.29</v>
      </c>
      <c r="Q306">
        <v>0</v>
      </c>
      <c r="R306" s="56">
        <v>64.86</v>
      </c>
      <c r="S306" s="56">
        <v>71.28</v>
      </c>
      <c r="T306">
        <v>619991239</v>
      </c>
      <c r="U306">
        <v>770700044</v>
      </c>
      <c r="V306">
        <v>938.9</v>
      </c>
      <c r="W306">
        <v>5</v>
      </c>
    </row>
    <row r="307" spans="1:23" x14ac:dyDescent="0.55000000000000004">
      <c r="A307" s="1">
        <v>1</v>
      </c>
      <c r="B307" s="1">
        <v>28</v>
      </c>
      <c r="C307" s="1">
        <v>6950</v>
      </c>
      <c r="D307" t="s">
        <v>308</v>
      </c>
      <c r="E307">
        <v>1329.3</v>
      </c>
      <c r="F307">
        <v>163</v>
      </c>
      <c r="G307">
        <v>7988</v>
      </c>
      <c r="H307" s="38">
        <v>10618448</v>
      </c>
      <c r="I307" s="38">
        <v>0</v>
      </c>
      <c r="J307">
        <v>857.03</v>
      </c>
      <c r="K307">
        <v>0</v>
      </c>
      <c r="L307">
        <v>76.180000000000007</v>
      </c>
      <c r="M307">
        <v>0</v>
      </c>
      <c r="N307">
        <v>76.069999999999993</v>
      </c>
      <c r="O307">
        <v>0</v>
      </c>
      <c r="P307">
        <v>385.29</v>
      </c>
      <c r="Q307">
        <v>0</v>
      </c>
      <c r="R307" s="56">
        <v>65.260000000000005</v>
      </c>
      <c r="S307" s="56">
        <v>72.69</v>
      </c>
      <c r="T307">
        <v>739635022</v>
      </c>
      <c r="U307">
        <v>761701512</v>
      </c>
      <c r="V307">
        <v>1279.4000000000001</v>
      </c>
      <c r="W307">
        <v>225</v>
      </c>
    </row>
    <row r="308" spans="1:23" x14ac:dyDescent="0.55000000000000004">
      <c r="A308" s="1">
        <v>11</v>
      </c>
      <c r="B308" s="1">
        <v>77</v>
      </c>
      <c r="C308" s="1">
        <v>6957</v>
      </c>
      <c r="D308" t="s">
        <v>309</v>
      </c>
      <c r="E308">
        <v>8525.7999999999993</v>
      </c>
      <c r="F308">
        <v>622</v>
      </c>
      <c r="G308">
        <v>7988</v>
      </c>
      <c r="H308" s="38">
        <v>68104090</v>
      </c>
      <c r="I308" s="38">
        <v>0</v>
      </c>
      <c r="J308">
        <v>718.02</v>
      </c>
      <c r="K308">
        <v>0</v>
      </c>
      <c r="L308">
        <v>74.89</v>
      </c>
      <c r="M308">
        <v>0</v>
      </c>
      <c r="N308">
        <v>74.569999999999993</v>
      </c>
      <c r="O308">
        <v>0</v>
      </c>
      <c r="P308">
        <v>385.29</v>
      </c>
      <c r="Q308">
        <v>0</v>
      </c>
      <c r="R308" s="56">
        <v>64.86</v>
      </c>
      <c r="S308" s="56">
        <v>71.28</v>
      </c>
      <c r="T308">
        <v>5875393617</v>
      </c>
      <c r="U308">
        <v>6233944636</v>
      </c>
      <c r="V308">
        <v>8249.4</v>
      </c>
      <c r="W308">
        <v>1340</v>
      </c>
    </row>
    <row r="309" spans="1:23" x14ac:dyDescent="0.55000000000000004">
      <c r="A309" s="1">
        <v>7</v>
      </c>
      <c r="B309" s="1">
        <v>35</v>
      </c>
      <c r="C309" s="1">
        <v>5922</v>
      </c>
      <c r="D309" t="s">
        <v>310</v>
      </c>
      <c r="E309">
        <v>748.6</v>
      </c>
      <c r="F309">
        <v>36</v>
      </c>
      <c r="G309">
        <v>8004</v>
      </c>
      <c r="H309" s="38">
        <v>5991794</v>
      </c>
      <c r="I309" s="38">
        <v>0</v>
      </c>
      <c r="J309">
        <v>1049.01</v>
      </c>
      <c r="K309">
        <v>0</v>
      </c>
      <c r="L309">
        <v>85.36</v>
      </c>
      <c r="M309">
        <v>0</v>
      </c>
      <c r="N309">
        <v>72.31</v>
      </c>
      <c r="O309">
        <v>0</v>
      </c>
      <c r="P309">
        <v>385.29</v>
      </c>
      <c r="Q309">
        <v>0</v>
      </c>
      <c r="R309" s="56">
        <v>65.290000000000006</v>
      </c>
      <c r="S309" s="56">
        <v>72.78</v>
      </c>
      <c r="T309">
        <v>495686931</v>
      </c>
      <c r="U309">
        <v>505189812</v>
      </c>
      <c r="V309">
        <v>737.4</v>
      </c>
      <c r="W309">
        <v>56</v>
      </c>
    </row>
    <row r="310" spans="1:23" x14ac:dyDescent="0.55000000000000004">
      <c r="A310" s="1">
        <v>7</v>
      </c>
      <c r="B310" s="1">
        <v>41</v>
      </c>
      <c r="C310" s="1">
        <v>819</v>
      </c>
      <c r="D310" t="s">
        <v>311</v>
      </c>
      <c r="E310">
        <v>587.9</v>
      </c>
      <c r="F310">
        <v>8</v>
      </c>
      <c r="G310">
        <v>7988</v>
      </c>
      <c r="H310" s="38">
        <v>4696145</v>
      </c>
      <c r="I310" s="38">
        <v>0</v>
      </c>
      <c r="J310">
        <v>1011.17</v>
      </c>
      <c r="K310">
        <v>0</v>
      </c>
      <c r="L310">
        <v>71.89</v>
      </c>
      <c r="M310">
        <v>0</v>
      </c>
      <c r="N310">
        <v>80.23</v>
      </c>
      <c r="O310">
        <v>0</v>
      </c>
      <c r="P310">
        <v>385.29</v>
      </c>
      <c r="Q310">
        <v>0</v>
      </c>
      <c r="R310" s="56">
        <v>65.290000000000006</v>
      </c>
      <c r="S310" s="56">
        <v>72.78</v>
      </c>
      <c r="T310">
        <v>368452436</v>
      </c>
      <c r="U310">
        <v>369344078</v>
      </c>
      <c r="V310">
        <v>598.9</v>
      </c>
      <c r="W310">
        <v>9</v>
      </c>
    </row>
    <row r="311" spans="1:23" x14ac:dyDescent="0.55000000000000004">
      <c r="A311" s="1">
        <v>13</v>
      </c>
      <c r="B311" s="1">
        <v>43</v>
      </c>
      <c r="C311" s="1">
        <v>6969</v>
      </c>
      <c r="D311" t="s">
        <v>312</v>
      </c>
      <c r="E311">
        <v>335.1</v>
      </c>
      <c r="F311">
        <v>0</v>
      </c>
      <c r="G311">
        <v>8118</v>
      </c>
      <c r="H311" s="38">
        <v>2720342</v>
      </c>
      <c r="I311" s="38">
        <v>99500</v>
      </c>
      <c r="J311">
        <v>1205.9000000000001</v>
      </c>
      <c r="K311">
        <v>0</v>
      </c>
      <c r="L311">
        <v>76.98</v>
      </c>
      <c r="M311">
        <v>668</v>
      </c>
      <c r="N311">
        <v>67.760000000000005</v>
      </c>
      <c r="O311">
        <v>475</v>
      </c>
      <c r="P311">
        <v>385.29</v>
      </c>
      <c r="Q311">
        <v>3362</v>
      </c>
      <c r="R311" s="56">
        <v>64.989999999999995</v>
      </c>
      <c r="S311" s="56">
        <v>71.86</v>
      </c>
      <c r="T311">
        <v>302765794</v>
      </c>
      <c r="U311">
        <v>302765794</v>
      </c>
      <c r="V311">
        <v>343</v>
      </c>
      <c r="W311">
        <v>0</v>
      </c>
    </row>
    <row r="312" spans="1:23" x14ac:dyDescent="0.55000000000000004">
      <c r="A312" s="1">
        <v>9</v>
      </c>
      <c r="B312" s="1">
        <v>70</v>
      </c>
      <c r="C312" s="1">
        <v>6975</v>
      </c>
      <c r="D312" t="s">
        <v>313</v>
      </c>
      <c r="E312">
        <v>1236.0999999999999</v>
      </c>
      <c r="F312">
        <v>7</v>
      </c>
      <c r="G312">
        <v>7988</v>
      </c>
      <c r="H312" s="38">
        <v>9873967</v>
      </c>
      <c r="I312" s="38">
        <v>9519</v>
      </c>
      <c r="J312">
        <v>1015.44</v>
      </c>
      <c r="K312">
        <v>0</v>
      </c>
      <c r="L312">
        <v>73.13</v>
      </c>
      <c r="M312">
        <v>0</v>
      </c>
      <c r="N312">
        <v>93.57</v>
      </c>
      <c r="O312">
        <v>0</v>
      </c>
      <c r="P312">
        <v>385.29</v>
      </c>
      <c r="Q312">
        <v>0</v>
      </c>
      <c r="R312" s="56">
        <v>64.8</v>
      </c>
      <c r="S312" s="56">
        <v>70.86</v>
      </c>
      <c r="T312">
        <v>359440930</v>
      </c>
      <c r="U312">
        <v>382972009</v>
      </c>
      <c r="V312">
        <v>1237.0999999999999</v>
      </c>
      <c r="W312">
        <v>7</v>
      </c>
    </row>
    <row r="313" spans="1:23" x14ac:dyDescent="0.55000000000000004">
      <c r="A313" s="1">
        <v>12</v>
      </c>
      <c r="B313" s="1">
        <v>60</v>
      </c>
      <c r="C313" s="1">
        <v>6983</v>
      </c>
      <c r="D313" t="s">
        <v>314</v>
      </c>
      <c r="E313">
        <v>947.4</v>
      </c>
      <c r="F313">
        <v>137</v>
      </c>
      <c r="G313">
        <v>7988</v>
      </c>
      <c r="H313" s="38">
        <v>7567831</v>
      </c>
      <c r="I313" s="38">
        <v>0</v>
      </c>
      <c r="J313">
        <v>834.49</v>
      </c>
      <c r="K313">
        <v>0</v>
      </c>
      <c r="L313">
        <v>73.25</v>
      </c>
      <c r="M313">
        <v>0</v>
      </c>
      <c r="N313">
        <v>75.510000000000005</v>
      </c>
      <c r="O313">
        <v>0</v>
      </c>
      <c r="P313">
        <v>385.29</v>
      </c>
      <c r="Q313">
        <v>0</v>
      </c>
      <c r="R313" s="56">
        <v>65.27</v>
      </c>
      <c r="S313" s="56">
        <v>73.06</v>
      </c>
      <c r="T313">
        <v>586861554</v>
      </c>
      <c r="U313">
        <v>619805283</v>
      </c>
      <c r="V313">
        <v>916.2</v>
      </c>
      <c r="W313">
        <v>175</v>
      </c>
    </row>
    <row r="314" spans="1:23" x14ac:dyDescent="0.55000000000000004">
      <c r="A314" s="1">
        <v>7</v>
      </c>
      <c r="B314" s="1">
        <v>64</v>
      </c>
      <c r="C314" s="1">
        <v>6985</v>
      </c>
      <c r="D314" t="s">
        <v>315</v>
      </c>
      <c r="E314">
        <v>729.5</v>
      </c>
      <c r="F314">
        <v>5</v>
      </c>
      <c r="G314">
        <v>7988</v>
      </c>
      <c r="H314" s="38">
        <v>5827246</v>
      </c>
      <c r="I314" s="38">
        <v>161022</v>
      </c>
      <c r="J314">
        <v>961.32</v>
      </c>
      <c r="K314">
        <v>0</v>
      </c>
      <c r="L314">
        <v>68.53</v>
      </c>
      <c r="M314">
        <v>700</v>
      </c>
      <c r="N314">
        <v>82.75</v>
      </c>
      <c r="O314">
        <v>978</v>
      </c>
      <c r="P314">
        <v>385.29</v>
      </c>
      <c r="Q314">
        <v>4691</v>
      </c>
      <c r="R314" s="56">
        <v>65.290000000000006</v>
      </c>
      <c r="S314" s="56">
        <v>72.78</v>
      </c>
      <c r="T314">
        <v>375680875</v>
      </c>
      <c r="U314">
        <v>375680875</v>
      </c>
      <c r="V314">
        <v>706.9</v>
      </c>
      <c r="W314">
        <v>7</v>
      </c>
    </row>
    <row r="315" spans="1:23" x14ac:dyDescent="0.55000000000000004">
      <c r="A315" s="1">
        <v>12</v>
      </c>
      <c r="B315" s="1">
        <v>67</v>
      </c>
      <c r="C315" s="1">
        <v>6987</v>
      </c>
      <c r="D315" t="s">
        <v>316</v>
      </c>
      <c r="E315">
        <v>571.9</v>
      </c>
      <c r="F315">
        <v>2</v>
      </c>
      <c r="G315">
        <v>7988</v>
      </c>
      <c r="H315" s="38">
        <v>4568337</v>
      </c>
      <c r="I315" s="38">
        <v>6649</v>
      </c>
      <c r="J315">
        <v>1229.0999999999999</v>
      </c>
      <c r="K315">
        <v>0</v>
      </c>
      <c r="L315">
        <v>75.48</v>
      </c>
      <c r="M315">
        <v>0</v>
      </c>
      <c r="N315">
        <v>81.010000000000005</v>
      </c>
      <c r="O315">
        <v>0</v>
      </c>
      <c r="P315">
        <v>385.29</v>
      </c>
      <c r="Q315">
        <v>0</v>
      </c>
      <c r="R315" s="56">
        <v>65.27</v>
      </c>
      <c r="S315" s="56">
        <v>73.06</v>
      </c>
      <c r="T315">
        <v>376709684</v>
      </c>
      <c r="U315">
        <v>391750045</v>
      </c>
      <c r="V315">
        <v>566.20000000000005</v>
      </c>
      <c r="W315">
        <v>2</v>
      </c>
    </row>
    <row r="316" spans="1:23" x14ac:dyDescent="0.55000000000000004">
      <c r="A316" s="1">
        <v>12</v>
      </c>
      <c r="B316" s="1">
        <v>84</v>
      </c>
      <c r="C316" s="1">
        <v>6990</v>
      </c>
      <c r="D316" t="s">
        <v>317</v>
      </c>
      <c r="E316">
        <v>733.1</v>
      </c>
      <c r="F316">
        <v>81</v>
      </c>
      <c r="G316">
        <v>7988</v>
      </c>
      <c r="H316" s="38">
        <v>5856003</v>
      </c>
      <c r="I316" s="38">
        <v>129893</v>
      </c>
      <c r="J316">
        <v>1045.5</v>
      </c>
      <c r="K316">
        <v>0</v>
      </c>
      <c r="L316">
        <v>82.18</v>
      </c>
      <c r="M316">
        <v>0</v>
      </c>
      <c r="N316">
        <v>85.42</v>
      </c>
      <c r="O316">
        <v>0</v>
      </c>
      <c r="P316">
        <v>385.29</v>
      </c>
      <c r="Q316">
        <v>0</v>
      </c>
      <c r="R316" s="56">
        <v>65.27</v>
      </c>
      <c r="S316" s="56">
        <v>73.06</v>
      </c>
      <c r="T316">
        <v>269911434</v>
      </c>
      <c r="U316">
        <v>286978042</v>
      </c>
      <c r="V316">
        <v>714.5</v>
      </c>
      <c r="W316">
        <v>95</v>
      </c>
    </row>
    <row r="317" spans="1:23" x14ac:dyDescent="0.55000000000000004">
      <c r="A317" s="1">
        <v>1</v>
      </c>
      <c r="B317" s="1">
        <v>31</v>
      </c>
      <c r="C317" s="1">
        <v>6961</v>
      </c>
      <c r="D317" t="s">
        <v>318</v>
      </c>
      <c r="E317">
        <v>3184.6</v>
      </c>
      <c r="F317">
        <v>673</v>
      </c>
      <c r="G317">
        <v>8003</v>
      </c>
      <c r="H317" s="38">
        <v>25486354</v>
      </c>
      <c r="I317" s="38">
        <v>0</v>
      </c>
      <c r="J317">
        <v>798.91</v>
      </c>
      <c r="K317">
        <v>0</v>
      </c>
      <c r="L317">
        <v>75.75</v>
      </c>
      <c r="M317">
        <v>0</v>
      </c>
      <c r="N317">
        <v>78.760000000000005</v>
      </c>
      <c r="O317">
        <v>0</v>
      </c>
      <c r="P317">
        <v>385.29</v>
      </c>
      <c r="Q317">
        <v>0</v>
      </c>
      <c r="R317" s="56">
        <v>65.260000000000005</v>
      </c>
      <c r="S317" s="56">
        <v>72.69</v>
      </c>
      <c r="T317">
        <v>1794726862</v>
      </c>
      <c r="U317">
        <v>2006595130</v>
      </c>
      <c r="V317">
        <v>3125</v>
      </c>
      <c r="W317">
        <v>1036</v>
      </c>
    </row>
    <row r="318" spans="1:23" x14ac:dyDescent="0.55000000000000004">
      <c r="A318" s="1">
        <v>12</v>
      </c>
      <c r="B318" s="1">
        <v>97</v>
      </c>
      <c r="C318" s="1">
        <v>6992</v>
      </c>
      <c r="D318" t="s">
        <v>319</v>
      </c>
      <c r="E318">
        <v>498.9</v>
      </c>
      <c r="F318">
        <v>6</v>
      </c>
      <c r="G318">
        <v>7988</v>
      </c>
      <c r="H318" s="38">
        <v>3985213</v>
      </c>
      <c r="I318" s="38">
        <v>226967</v>
      </c>
      <c r="J318">
        <v>1062.17</v>
      </c>
      <c r="K318">
        <v>0</v>
      </c>
      <c r="L318">
        <v>82.84</v>
      </c>
      <c r="M318">
        <v>1916</v>
      </c>
      <c r="N318">
        <v>82.73</v>
      </c>
      <c r="O318">
        <v>1838</v>
      </c>
      <c r="P318">
        <v>385.29</v>
      </c>
      <c r="Q318">
        <v>8653</v>
      </c>
      <c r="R318" s="56">
        <v>65.27</v>
      </c>
      <c r="S318" s="56">
        <v>73.06</v>
      </c>
      <c r="T318">
        <v>446423749</v>
      </c>
      <c r="U318">
        <v>453368093</v>
      </c>
      <c r="V318">
        <v>489.5</v>
      </c>
      <c r="W318">
        <v>15</v>
      </c>
    </row>
    <row r="319" spans="1:23" x14ac:dyDescent="0.55000000000000004">
      <c r="A319" s="1">
        <v>12</v>
      </c>
      <c r="B319" s="1">
        <v>67</v>
      </c>
      <c r="C319" s="1">
        <v>7002</v>
      </c>
      <c r="D319" t="s">
        <v>320</v>
      </c>
      <c r="E319">
        <v>171.7</v>
      </c>
      <c r="F319">
        <v>0</v>
      </c>
      <c r="G319">
        <v>7988</v>
      </c>
      <c r="H319" s="38">
        <v>1371540</v>
      </c>
      <c r="I319" s="38">
        <v>151611</v>
      </c>
      <c r="J319">
        <v>2021.45</v>
      </c>
      <c r="K319">
        <v>0</v>
      </c>
      <c r="L319">
        <v>92.54</v>
      </c>
      <c r="M319">
        <v>1651</v>
      </c>
      <c r="N319">
        <v>101.75</v>
      </c>
      <c r="O319">
        <v>1817</v>
      </c>
      <c r="P319">
        <v>385.29</v>
      </c>
      <c r="Q319">
        <v>6636</v>
      </c>
      <c r="R319" s="56">
        <v>65.27</v>
      </c>
      <c r="S319" s="56">
        <v>73.06</v>
      </c>
      <c r="T319">
        <v>159444423</v>
      </c>
      <c r="U319">
        <v>159444423</v>
      </c>
      <c r="V319">
        <v>157.4</v>
      </c>
      <c r="W319">
        <v>2</v>
      </c>
    </row>
    <row r="320" spans="1:23" x14ac:dyDescent="0.55000000000000004">
      <c r="A320" s="1">
        <v>10</v>
      </c>
      <c r="B320" s="1">
        <v>48</v>
      </c>
      <c r="C320" s="1">
        <v>7029</v>
      </c>
      <c r="D320" t="s">
        <v>321</v>
      </c>
      <c r="E320">
        <v>1104.5</v>
      </c>
      <c r="F320">
        <v>71</v>
      </c>
      <c r="G320">
        <v>7988</v>
      </c>
      <c r="H320" s="38">
        <v>8822746</v>
      </c>
      <c r="I320" s="38">
        <v>275057</v>
      </c>
      <c r="J320">
        <v>864.13</v>
      </c>
      <c r="K320">
        <v>0</v>
      </c>
      <c r="L320">
        <v>75.38</v>
      </c>
      <c r="M320">
        <v>0</v>
      </c>
      <c r="N320">
        <v>68.040000000000006</v>
      </c>
      <c r="O320">
        <v>0</v>
      </c>
      <c r="P320">
        <v>385.29</v>
      </c>
      <c r="Q320">
        <v>0</v>
      </c>
      <c r="R320" s="56">
        <v>64.98</v>
      </c>
      <c r="S320" s="56">
        <v>71.459999999999994</v>
      </c>
      <c r="T320">
        <v>485351048</v>
      </c>
      <c r="U320">
        <v>539998235</v>
      </c>
      <c r="V320">
        <v>1101.8</v>
      </c>
      <c r="W320">
        <v>94</v>
      </c>
    </row>
    <row r="321" spans="1:23" x14ac:dyDescent="0.55000000000000004">
      <c r="A321" s="1">
        <v>9</v>
      </c>
      <c r="B321" s="1">
        <v>70</v>
      </c>
      <c r="C321" s="1">
        <v>7038</v>
      </c>
      <c r="D321" t="s">
        <v>322</v>
      </c>
      <c r="E321">
        <v>815.4</v>
      </c>
      <c r="F321">
        <v>0</v>
      </c>
      <c r="G321">
        <v>7988</v>
      </c>
      <c r="H321" s="38">
        <v>6513415</v>
      </c>
      <c r="I321" s="38">
        <v>217062</v>
      </c>
      <c r="J321">
        <v>955.58</v>
      </c>
      <c r="K321">
        <v>0</v>
      </c>
      <c r="L321">
        <v>78.290000000000006</v>
      </c>
      <c r="M321">
        <v>1532</v>
      </c>
      <c r="N321">
        <v>80.31</v>
      </c>
      <c r="O321">
        <v>1485</v>
      </c>
      <c r="P321">
        <v>385.29</v>
      </c>
      <c r="Q321">
        <v>7481</v>
      </c>
      <c r="R321" s="56">
        <v>64.8</v>
      </c>
      <c r="S321" s="56">
        <v>70.86</v>
      </c>
      <c r="T321">
        <v>313354153</v>
      </c>
      <c r="U321">
        <v>336231456</v>
      </c>
      <c r="V321">
        <v>774.2</v>
      </c>
      <c r="W321">
        <v>5</v>
      </c>
    </row>
    <row r="322" spans="1:23" x14ac:dyDescent="0.55000000000000004">
      <c r="A322" s="1">
        <v>15</v>
      </c>
      <c r="B322" s="1">
        <v>44</v>
      </c>
      <c r="C322" s="1">
        <v>7047</v>
      </c>
      <c r="D322" t="s">
        <v>323</v>
      </c>
      <c r="E322">
        <v>302.60000000000002</v>
      </c>
      <c r="F322">
        <v>0</v>
      </c>
      <c r="G322">
        <v>7988</v>
      </c>
      <c r="H322" s="38">
        <v>2417169</v>
      </c>
      <c r="I322" s="38">
        <v>85320</v>
      </c>
      <c r="J322">
        <v>1529.8</v>
      </c>
      <c r="K322">
        <v>0</v>
      </c>
      <c r="L322">
        <v>77.75</v>
      </c>
      <c r="M322">
        <v>607</v>
      </c>
      <c r="N322">
        <v>87.74</v>
      </c>
      <c r="O322">
        <v>703</v>
      </c>
      <c r="P322">
        <v>385.29</v>
      </c>
      <c r="Q322">
        <v>3003</v>
      </c>
      <c r="R322" s="56">
        <v>64.959999999999994</v>
      </c>
      <c r="S322" s="56">
        <v>71.430000000000007</v>
      </c>
      <c r="T322">
        <v>135753391</v>
      </c>
      <c r="U322">
        <v>138168657</v>
      </c>
      <c r="V322">
        <v>305.2</v>
      </c>
      <c r="W322">
        <v>1</v>
      </c>
    </row>
    <row r="323" spans="1:23" x14ac:dyDescent="0.55000000000000004">
      <c r="A323" s="1">
        <v>11</v>
      </c>
      <c r="B323" s="1">
        <v>61</v>
      </c>
      <c r="C323" s="1">
        <v>7056</v>
      </c>
      <c r="D323" t="s">
        <v>324</v>
      </c>
      <c r="E323">
        <v>1645.8</v>
      </c>
      <c r="F323">
        <v>9</v>
      </c>
      <c r="G323">
        <v>7988</v>
      </c>
      <c r="H323" s="38">
        <v>13146650</v>
      </c>
      <c r="I323" s="38">
        <v>36075</v>
      </c>
      <c r="J323">
        <v>809.12</v>
      </c>
      <c r="K323">
        <v>0</v>
      </c>
      <c r="L323">
        <v>72.61</v>
      </c>
      <c r="M323">
        <v>0</v>
      </c>
      <c r="N323">
        <v>85.86</v>
      </c>
      <c r="O323">
        <v>0</v>
      </c>
      <c r="P323">
        <v>385.29</v>
      </c>
      <c r="Q323">
        <v>0</v>
      </c>
      <c r="R323" s="56">
        <v>64.86</v>
      </c>
      <c r="S323" s="56">
        <v>71.28</v>
      </c>
      <c r="T323">
        <v>719307030</v>
      </c>
      <c r="U323">
        <v>773860191</v>
      </c>
      <c r="V323">
        <v>1630.6</v>
      </c>
      <c r="W323">
        <v>29</v>
      </c>
    </row>
    <row r="324" spans="1:23" x14ac:dyDescent="0.55000000000000004">
      <c r="A324" s="1">
        <v>13</v>
      </c>
      <c r="B324" s="1">
        <v>43</v>
      </c>
      <c r="C324" s="1">
        <v>7092</v>
      </c>
      <c r="D324" t="s">
        <v>325</v>
      </c>
      <c r="E324">
        <v>512.5</v>
      </c>
      <c r="F324">
        <v>4</v>
      </c>
      <c r="G324">
        <v>7988</v>
      </c>
      <c r="H324" s="38">
        <v>4093850</v>
      </c>
      <c r="I324" s="38">
        <v>0</v>
      </c>
      <c r="J324">
        <v>1141.83</v>
      </c>
      <c r="K324">
        <v>0</v>
      </c>
      <c r="L324">
        <v>82.59</v>
      </c>
      <c r="M324">
        <v>0</v>
      </c>
      <c r="N324">
        <v>86.39</v>
      </c>
      <c r="O324">
        <v>0</v>
      </c>
      <c r="P324">
        <v>385.29</v>
      </c>
      <c r="Q324">
        <v>0</v>
      </c>
      <c r="R324" s="56">
        <v>64.989999999999995</v>
      </c>
      <c r="S324" s="56">
        <v>71.86</v>
      </c>
      <c r="T324">
        <v>238134303</v>
      </c>
      <c r="U324">
        <v>250805755</v>
      </c>
      <c r="V324">
        <v>532.5</v>
      </c>
      <c r="W324">
        <v>1</v>
      </c>
    </row>
    <row r="325" spans="1:23" x14ac:dyDescent="0.55000000000000004">
      <c r="A325" s="1">
        <v>12</v>
      </c>
      <c r="B325" s="1">
        <v>97</v>
      </c>
      <c r="C325" s="1">
        <v>7098</v>
      </c>
      <c r="D325" t="s">
        <v>326</v>
      </c>
      <c r="E325">
        <v>515.9</v>
      </c>
      <c r="F325">
        <v>6</v>
      </c>
      <c r="G325">
        <v>7988</v>
      </c>
      <c r="H325" s="38">
        <v>4121009</v>
      </c>
      <c r="I325" s="38">
        <v>0</v>
      </c>
      <c r="J325">
        <v>1083.71</v>
      </c>
      <c r="K325">
        <v>0</v>
      </c>
      <c r="L325">
        <v>75.34</v>
      </c>
      <c r="M325">
        <v>0</v>
      </c>
      <c r="N325">
        <v>79.209999999999994</v>
      </c>
      <c r="O325">
        <v>0</v>
      </c>
      <c r="P325">
        <v>385.29</v>
      </c>
      <c r="Q325">
        <v>0</v>
      </c>
      <c r="R325" s="56">
        <v>65.27</v>
      </c>
      <c r="S325" s="56">
        <v>73.06</v>
      </c>
      <c r="T325">
        <v>253312525</v>
      </c>
      <c r="U325">
        <v>263852519</v>
      </c>
      <c r="V325">
        <v>517.6</v>
      </c>
      <c r="W325">
        <v>6</v>
      </c>
    </row>
    <row r="326" spans="1:23" x14ac:dyDescent="0.55000000000000004">
      <c r="A326" s="1">
        <v>11</v>
      </c>
      <c r="B326" s="1">
        <v>25</v>
      </c>
      <c r="C326" s="1">
        <v>7110</v>
      </c>
      <c r="D326" t="s">
        <v>327</v>
      </c>
      <c r="E326">
        <v>1106.4000000000001</v>
      </c>
      <c r="F326">
        <v>16</v>
      </c>
      <c r="G326">
        <v>8040</v>
      </c>
      <c r="H326" s="38">
        <v>8895456</v>
      </c>
      <c r="I326" s="38">
        <v>0</v>
      </c>
      <c r="J326">
        <v>853.9</v>
      </c>
      <c r="K326">
        <v>0</v>
      </c>
      <c r="L326">
        <v>72.150000000000006</v>
      </c>
      <c r="M326">
        <v>0</v>
      </c>
      <c r="N326">
        <v>76.599999999999994</v>
      </c>
      <c r="O326">
        <v>0</v>
      </c>
      <c r="P326">
        <v>385.29</v>
      </c>
      <c r="Q326">
        <v>0</v>
      </c>
      <c r="R326" s="56">
        <v>64.86</v>
      </c>
      <c r="S326" s="56">
        <v>71.28</v>
      </c>
      <c r="T326">
        <v>422174760</v>
      </c>
      <c r="U326">
        <v>448172263</v>
      </c>
      <c r="V326">
        <v>1114.3</v>
      </c>
      <c r="W326">
        <v>32</v>
      </c>
    </row>
    <row r="327" spans="1:23" x14ac:dyDescent="0.55000000000000004">
      <c r="C327" s="1">
        <v>9999</v>
      </c>
      <c r="D327" t="s">
        <v>328</v>
      </c>
      <c r="E327">
        <v>480665.4</v>
      </c>
      <c r="F327">
        <v>27866</v>
      </c>
      <c r="G327" t="s">
        <v>330</v>
      </c>
      <c r="H327" s="38">
        <v>3843964749</v>
      </c>
      <c r="I327" s="38">
        <v>24313423</v>
      </c>
      <c r="J327">
        <v>671.05</v>
      </c>
      <c r="K327">
        <v>7071</v>
      </c>
      <c r="L327">
        <v>77.52</v>
      </c>
      <c r="M327">
        <v>75416</v>
      </c>
      <c r="N327">
        <v>84.44</v>
      </c>
      <c r="O327">
        <v>80048</v>
      </c>
      <c r="P327">
        <v>385.29</v>
      </c>
      <c r="Q327">
        <v>376622</v>
      </c>
      <c r="R327" s="56" t="s">
        <v>375</v>
      </c>
      <c r="S327" s="56" t="s">
        <v>375</v>
      </c>
      <c r="T327">
        <v>221894948330</v>
      </c>
      <c r="U327">
        <v>240041934286</v>
      </c>
      <c r="V327" t="e">
        <v>#N/A</v>
      </c>
      <c r="W327" t="e">
        <v>#N/A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R26"/>
  <sheetViews>
    <sheetView zoomScaleNormal="100" workbookViewId="0">
      <selection activeCell="A7" sqref="A7"/>
    </sheetView>
  </sheetViews>
  <sheetFormatPr defaultColWidth="8.83984375" defaultRowHeight="14.4" x14ac:dyDescent="0.55000000000000004"/>
  <cols>
    <col min="1" max="1" width="71.41796875" style="2" customWidth="1"/>
    <col min="2" max="5" width="18.578125" style="2" customWidth="1"/>
    <col min="6" max="6" width="8.83984375" style="2"/>
    <col min="7" max="7" width="13.15625" style="2" bestFit="1" customWidth="1"/>
    <col min="8" max="8" width="8.83984375" style="2"/>
    <col min="9" max="9" width="14.578125" style="2" bestFit="1" customWidth="1"/>
    <col min="10" max="17" width="8.83984375" style="2"/>
    <col min="18" max="18" width="8.83984375" style="2" bestFit="1"/>
    <col min="19" max="16384" width="8.83984375" style="2"/>
  </cols>
  <sheetData>
    <row r="4" spans="1:18" ht="25.8" x14ac:dyDescent="0.95">
      <c r="A4" s="3" t="s">
        <v>400</v>
      </c>
      <c r="B4" s="4"/>
      <c r="C4" s="4"/>
      <c r="D4" s="4"/>
      <c r="E4" s="4"/>
    </row>
    <row r="5" spans="1:18" x14ac:dyDescent="0.55000000000000004">
      <c r="A5" s="247" t="s">
        <v>343</v>
      </c>
      <c r="B5" s="247"/>
      <c r="C5" s="247"/>
      <c r="D5" s="247"/>
      <c r="E5" s="247"/>
    </row>
    <row r="6" spans="1:18" ht="18.600000000000001" thickBot="1" x14ac:dyDescent="0.75">
      <c r="A6" s="6" t="s">
        <v>372</v>
      </c>
      <c r="C6" s="6" t="s">
        <v>373</v>
      </c>
      <c r="D6" s="6"/>
      <c r="E6" s="25" t="s">
        <v>422</v>
      </c>
      <c r="F6" s="6"/>
      <c r="H6" s="6"/>
      <c r="I6" s="6"/>
      <c r="J6" s="6"/>
      <c r="K6" s="6"/>
      <c r="L6" s="6"/>
      <c r="M6" s="6"/>
      <c r="N6" s="6"/>
      <c r="O6" s="6"/>
      <c r="P6" s="6"/>
      <c r="Q6" s="7"/>
      <c r="R6" s="5"/>
    </row>
    <row r="7" spans="1:18" ht="18.600000000000001" thickBot="1" x14ac:dyDescent="0.75">
      <c r="A7" s="140" t="str">
        <f>Instuctions!A7</f>
        <v>AGWSR</v>
      </c>
      <c r="C7" s="158">
        <f>Instuctions!C7</f>
        <v>0.02</v>
      </c>
      <c r="D7" s="9"/>
      <c r="E7" s="105">
        <f>Instuctions!E7</f>
        <v>0</v>
      </c>
      <c r="F7" s="10"/>
      <c r="G7" s="11"/>
      <c r="H7" s="8"/>
      <c r="I7" s="8"/>
      <c r="J7" s="8"/>
      <c r="K7" s="8"/>
      <c r="L7" s="8"/>
      <c r="M7" s="8"/>
      <c r="N7" s="8"/>
      <c r="O7" s="5"/>
      <c r="P7" s="5"/>
      <c r="Q7" s="7"/>
      <c r="R7" s="5"/>
    </row>
    <row r="8" spans="1:18" x14ac:dyDescent="0.55000000000000004">
      <c r="A8" s="5"/>
      <c r="B8" s="12"/>
      <c r="C8" s="154"/>
      <c r="D8" s="157"/>
      <c r="E8" s="13"/>
      <c r="F8" s="14"/>
      <c r="G8" s="15"/>
      <c r="H8" s="16"/>
      <c r="I8" s="16"/>
      <c r="J8" s="5"/>
      <c r="K8" s="5"/>
      <c r="L8" s="5"/>
      <c r="M8" s="17"/>
      <c r="N8" s="17"/>
      <c r="O8" s="5"/>
      <c r="P8" s="5"/>
      <c r="Q8" s="7"/>
      <c r="R8" s="5"/>
    </row>
    <row r="9" spans="1:18" ht="14.7" thickBot="1" x14ac:dyDescent="0.6">
      <c r="A9" s="5"/>
      <c r="C9" s="18"/>
      <c r="D9" s="18"/>
      <c r="E9" s="18"/>
      <c r="F9" s="18"/>
      <c r="G9" s="19"/>
      <c r="H9" s="20"/>
      <c r="I9" s="20"/>
      <c r="J9" s="20"/>
      <c r="K9" s="20"/>
      <c r="L9" s="20"/>
      <c r="M9" s="20"/>
      <c r="N9" s="20"/>
      <c r="O9" s="20"/>
      <c r="P9" s="20"/>
      <c r="Q9" s="7"/>
      <c r="R9" s="5"/>
    </row>
    <row r="10" spans="1:18" ht="19.5" customHeight="1" thickBot="1" x14ac:dyDescent="0.75">
      <c r="A10" s="117"/>
      <c r="B10" s="72" t="s">
        <v>338</v>
      </c>
      <c r="C10" s="73" t="s">
        <v>348</v>
      </c>
      <c r="D10" s="74" t="s">
        <v>339</v>
      </c>
      <c r="E10" s="75" t="s">
        <v>340</v>
      </c>
      <c r="G10" s="22"/>
      <c r="H10" s="23"/>
      <c r="I10" s="23"/>
      <c r="J10" s="23"/>
      <c r="K10" s="23"/>
      <c r="L10" s="23"/>
      <c r="M10" s="23"/>
      <c r="N10" s="23"/>
      <c r="O10" s="23"/>
      <c r="P10" s="23"/>
      <c r="Q10" s="24"/>
      <c r="R10" s="21"/>
    </row>
    <row r="11" spans="1:18" s="25" customFormat="1" ht="18.600000000000001" thickBot="1" x14ac:dyDescent="0.75">
      <c r="A11" s="116" t="s">
        <v>341</v>
      </c>
      <c r="B11" s="85">
        <f>INDEX(Data[FY2026 Budget Enrollment],MATCH(A7,Data[Label],0))</f>
        <v>704.3</v>
      </c>
      <c r="C11" s="162">
        <f>Instuctions!C11</f>
        <v>692.6</v>
      </c>
      <c r="D11" s="86">
        <f>C11-B11</f>
        <v>-11.699999999999932</v>
      </c>
      <c r="E11" s="87">
        <f>D11/B11</f>
        <v>-1.6612239102655024E-2</v>
      </c>
      <c r="G11" s="26"/>
      <c r="H11" s="26"/>
      <c r="I11" s="27"/>
      <c r="J11" s="26"/>
      <c r="K11" s="26"/>
      <c r="L11" s="26"/>
      <c r="M11" s="28"/>
      <c r="N11" s="29"/>
      <c r="O11" s="30"/>
      <c r="P11" s="29"/>
      <c r="Q11" s="31"/>
    </row>
    <row r="12" spans="1:18" s="25" customFormat="1" ht="18.3" x14ac:dyDescent="0.7">
      <c r="A12" s="115" t="s">
        <v>342</v>
      </c>
      <c r="B12" s="76">
        <f>INDEX(Data[FY26 RPDC Per Student],MATCH(A7,Data[Label],0))</f>
        <v>8058</v>
      </c>
      <c r="C12" s="77">
        <f>B12+D12</f>
        <v>8218</v>
      </c>
      <c r="D12" s="78">
        <f>MAX(7988+ROUND(7988*C7,0)+Instuctions!E7,B12+ROUND(7988*C7,0))-B12</f>
        <v>160</v>
      </c>
      <c r="E12" s="98">
        <f>D12/B12</f>
        <v>1.9856043683296104E-2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</row>
    <row r="13" spans="1:18" s="25" customFormat="1" ht="18.3" x14ac:dyDescent="0.7">
      <c r="A13" s="113" t="s">
        <v>343</v>
      </c>
      <c r="B13" s="80">
        <f>INDEX(Data[FY2026 RPDC Total],MATCH(A7,Data[Label],0))</f>
        <v>5675249</v>
      </c>
      <c r="C13" s="32">
        <f>C11*C12</f>
        <v>5691786.7999999998</v>
      </c>
      <c r="D13" s="33">
        <f>C13-B13</f>
        <v>16537.799999999814</v>
      </c>
      <c r="E13" s="82">
        <f t="shared" ref="E13" si="0">D13/B13</f>
        <v>2.9140219222099002E-3</v>
      </c>
    </row>
    <row r="14" spans="1:18" s="25" customFormat="1" ht="18.3" x14ac:dyDescent="0.7">
      <c r="A14" s="113" t="s">
        <v>344</v>
      </c>
      <c r="B14" s="81">
        <f>INDEX(Data[FY2026 RPDC Budget Guarantee],MATCH(A7,Data[Label],0))</f>
        <v>0</v>
      </c>
      <c r="C14" s="32">
        <f>ROUND(MAX((B13*1.01)-C13,0),0)</f>
        <v>40215</v>
      </c>
      <c r="D14" s="33">
        <f>C14-B14</f>
        <v>40215</v>
      </c>
      <c r="E14" s="82" t="str">
        <f>IFERROR(D14/B14,"")</f>
        <v/>
      </c>
      <c r="I14" s="165"/>
    </row>
    <row r="15" spans="1:18" s="25" customFormat="1" ht="18.600000000000001" thickBot="1" x14ac:dyDescent="0.75">
      <c r="A15" s="114" t="s">
        <v>345</v>
      </c>
      <c r="B15" s="63">
        <f>B13+B14</f>
        <v>5675249</v>
      </c>
      <c r="C15" s="41">
        <f>C13+C14</f>
        <v>5732001.7999999998</v>
      </c>
      <c r="D15" s="83">
        <f t="shared" ref="D15" si="1">C15-B15</f>
        <v>56752.799999999814</v>
      </c>
      <c r="E15" s="84">
        <f>D15/B15</f>
        <v>1.0000054623153946E-2</v>
      </c>
    </row>
    <row r="16" spans="1:18" ht="14.7" thickBot="1" x14ac:dyDescent="0.6"/>
    <row r="17" spans="1:5" ht="18.600000000000001" thickBot="1" x14ac:dyDescent="0.75">
      <c r="A17" s="118" t="s">
        <v>346</v>
      </c>
      <c r="B17" s="119">
        <f>(B14/INDEX(Data[FY2026 Valuation],MATCH(A7,Data[Label],0)))*1000</f>
        <v>0</v>
      </c>
      <c r="C17" s="119">
        <f>(C14/INDEX(Data[FY2026 Valuation],MATCH(A7,Data[Label],0)))*1000</f>
        <v>7.734565528317168E-2</v>
      </c>
      <c r="D17" s="120" t="s">
        <v>347</v>
      </c>
    </row>
    <row r="19" spans="1:5" x14ac:dyDescent="0.55000000000000004">
      <c r="A19" s="88" t="s">
        <v>412</v>
      </c>
    </row>
    <row r="21" spans="1:5" ht="18.3" x14ac:dyDescent="0.55000000000000004">
      <c r="D21" s="34"/>
      <c r="E21" s="34"/>
    </row>
    <row r="22" spans="1:5" ht="18.3" x14ac:dyDescent="0.55000000000000004">
      <c r="E22" s="34"/>
    </row>
    <row r="23" spans="1:5" x14ac:dyDescent="0.55000000000000004">
      <c r="E23" s="36" t="s">
        <v>397</v>
      </c>
    </row>
    <row r="25" spans="1:5" x14ac:dyDescent="0.55000000000000004">
      <c r="D25" s="35"/>
    </row>
    <row r="26" spans="1:5" x14ac:dyDescent="0.55000000000000004">
      <c r="D26" s="35"/>
    </row>
  </sheetData>
  <mergeCells count="1">
    <mergeCell ref="A5:E5"/>
  </mergeCells>
  <conditionalFormatting sqref="N1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scale="8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topLeftCell="A13" zoomScaleNormal="100" workbookViewId="0">
      <selection activeCell="C27" sqref="C27"/>
    </sheetView>
  </sheetViews>
  <sheetFormatPr defaultRowHeight="14.4" x14ac:dyDescent="0.55000000000000004"/>
  <cols>
    <col min="1" max="1" width="71.41796875" customWidth="1"/>
    <col min="2" max="5" width="18.578125" customWidth="1"/>
  </cols>
  <sheetData>
    <row r="1" spans="1:5" x14ac:dyDescent="0.55000000000000004">
      <c r="A1" s="2"/>
      <c r="B1" s="2"/>
    </row>
    <row r="2" spans="1:5" x14ac:dyDescent="0.55000000000000004">
      <c r="A2" s="2"/>
      <c r="B2" s="2"/>
    </row>
    <row r="3" spans="1:5" x14ac:dyDescent="0.55000000000000004">
      <c r="A3" s="2"/>
      <c r="B3" s="2"/>
    </row>
    <row r="4" spans="1:5" ht="25.8" x14ac:dyDescent="0.95">
      <c r="A4" s="248" t="s">
        <v>400</v>
      </c>
      <c r="B4" s="248"/>
      <c r="C4" s="248"/>
      <c r="D4" s="248"/>
      <c r="E4" s="248"/>
    </row>
    <row r="5" spans="1:5" x14ac:dyDescent="0.55000000000000004">
      <c r="A5" s="247" t="s">
        <v>379</v>
      </c>
      <c r="B5" s="247"/>
      <c r="C5" s="247"/>
      <c r="D5" s="247"/>
      <c r="E5" s="247"/>
    </row>
    <row r="6" spans="1:5" ht="18.600000000000001" thickBot="1" x14ac:dyDescent="0.75">
      <c r="A6" s="6" t="s">
        <v>372</v>
      </c>
      <c r="C6" s="6" t="s">
        <v>373</v>
      </c>
      <c r="D6" s="25"/>
      <c r="E6" s="25"/>
    </row>
    <row r="7" spans="1:5" ht="18.600000000000001" thickBot="1" x14ac:dyDescent="0.75">
      <c r="A7" s="160" t="str">
        <f>'District RPDC'!A7</f>
        <v>AGWSR</v>
      </c>
      <c r="C7" s="159">
        <f>'District RPDC'!C7</f>
        <v>0.02</v>
      </c>
      <c r="D7" s="25"/>
      <c r="E7" s="25"/>
    </row>
    <row r="8" spans="1:5" ht="15.75" customHeight="1" x14ac:dyDescent="0.7">
      <c r="A8" s="25"/>
      <c r="B8" s="25"/>
      <c r="C8" s="19"/>
      <c r="D8" s="26"/>
      <c r="E8" s="26"/>
    </row>
    <row r="9" spans="1:5" ht="15.75" customHeight="1" thickBot="1" x14ac:dyDescent="0.75">
      <c r="A9" s="25"/>
      <c r="B9" s="25"/>
      <c r="C9" s="25"/>
      <c r="D9" s="25"/>
      <c r="E9" s="25"/>
    </row>
    <row r="10" spans="1:5" ht="18.600000000000001" thickBot="1" x14ac:dyDescent="0.75">
      <c r="A10" s="121"/>
      <c r="B10" s="122" t="s">
        <v>369</v>
      </c>
      <c r="C10" s="69" t="s">
        <v>370</v>
      </c>
      <c r="D10" s="70" t="s">
        <v>339</v>
      </c>
      <c r="E10" s="71" t="s">
        <v>371</v>
      </c>
    </row>
    <row r="11" spans="1:5" ht="18.3" x14ac:dyDescent="0.7">
      <c r="A11" s="132" t="s">
        <v>352</v>
      </c>
      <c r="B11" s="123">
        <f>INDEX(Data[FY2026 ESA],MATCH('District RPDC'!A7,Data[Label],0))</f>
        <v>19</v>
      </c>
      <c r="C11" s="161">
        <f>Instuctions!C12</f>
        <v>16</v>
      </c>
      <c r="D11" s="58">
        <f>C11-B11</f>
        <v>-3</v>
      </c>
      <c r="E11" s="99">
        <f>IFERROR(D11/B11,"")</f>
        <v>-0.15789473684210525</v>
      </c>
    </row>
    <row r="12" spans="1:5" ht="18.600000000000001" thickBot="1" x14ac:dyDescent="0.75">
      <c r="A12" s="131" t="s">
        <v>351</v>
      </c>
      <c r="B12" s="124">
        <f>'District RPDC'!B11+B11</f>
        <v>723.3</v>
      </c>
      <c r="C12" s="45">
        <f>'District RPDC'!C11+C11</f>
        <v>708.6</v>
      </c>
      <c r="D12" s="49">
        <f>C12-B12</f>
        <v>-14.699999999999932</v>
      </c>
      <c r="E12" s="100">
        <f t="shared" ref="E12:E28" si="0">IFERROR(D12/B12,"")</f>
        <v>-2.032351721277469E-2</v>
      </c>
    </row>
    <row r="13" spans="1:5" ht="18.3" x14ac:dyDescent="0.7">
      <c r="A13" s="132" t="s">
        <v>362</v>
      </c>
      <c r="B13" s="125">
        <f>INDEX(Data[FY2026 TSS],MATCH(A7,Data[Label],0))</f>
        <v>984.45</v>
      </c>
      <c r="C13" s="54">
        <f>B13+D13</f>
        <v>998.1400000000001</v>
      </c>
      <c r="D13" s="53">
        <f>ROUND(684.47*C7,2)</f>
        <v>13.69</v>
      </c>
      <c r="E13" s="101">
        <f t="shared" si="0"/>
        <v>1.3906242064096703E-2</v>
      </c>
    </row>
    <row r="14" spans="1:5" ht="18.3" x14ac:dyDescent="0.7">
      <c r="A14" s="129" t="s">
        <v>358</v>
      </c>
      <c r="B14" s="126">
        <f>ROUND(B13*B12,0)</f>
        <v>712053</v>
      </c>
      <c r="C14" s="46">
        <f>ROUND(C13*C12,0)</f>
        <v>707282</v>
      </c>
      <c r="D14" s="50">
        <f>C14-B14</f>
        <v>-4771</v>
      </c>
      <c r="E14" s="102">
        <f t="shared" si="0"/>
        <v>-6.7003439350722489E-3</v>
      </c>
    </row>
    <row r="15" spans="1:5" ht="18.3" x14ac:dyDescent="0.7">
      <c r="A15" s="130" t="s">
        <v>380</v>
      </c>
      <c r="B15" s="126">
        <f>INDEX(Data[FY2026 TSS Budget Guarantee],MATCH(A7,Data[Label],0))</f>
        <v>0</v>
      </c>
      <c r="C15" s="46">
        <f>ROUND(MAX((B14-C14),0),0)</f>
        <v>4771</v>
      </c>
      <c r="D15" s="50">
        <f t="shared" ref="D15:D16" si="1">C15-B15</f>
        <v>4771</v>
      </c>
      <c r="E15" s="102" t="str">
        <f>IFERROR(D15/B15,"")</f>
        <v/>
      </c>
    </row>
    <row r="16" spans="1:5" ht="18.600000000000001" thickBot="1" x14ac:dyDescent="0.75">
      <c r="A16" s="133" t="s">
        <v>363</v>
      </c>
      <c r="B16" s="127">
        <f>SUM(B14:B15)</f>
        <v>712053</v>
      </c>
      <c r="C16" s="47">
        <f>C14+C15</f>
        <v>712053</v>
      </c>
      <c r="D16" s="51">
        <f t="shared" si="1"/>
        <v>0</v>
      </c>
      <c r="E16" s="100">
        <f t="shared" si="0"/>
        <v>0</v>
      </c>
    </row>
    <row r="17" spans="1:5" ht="18.3" x14ac:dyDescent="0.7">
      <c r="A17" s="132" t="s">
        <v>364</v>
      </c>
      <c r="B17" s="128">
        <f>INDEX(Data[FY2026 PD],MATCH(A7,Data[Label],0))</f>
        <v>77.400000000000006</v>
      </c>
      <c r="C17" s="48">
        <f>B17+D17</f>
        <v>78.95</v>
      </c>
      <c r="D17" s="52">
        <f>ROUND(77.52*C7,2)</f>
        <v>1.55</v>
      </c>
      <c r="E17" s="101">
        <f t="shared" si="0"/>
        <v>2.0025839793281652E-2</v>
      </c>
    </row>
    <row r="18" spans="1:5" ht="18.3" x14ac:dyDescent="0.7">
      <c r="A18" s="129" t="s">
        <v>359</v>
      </c>
      <c r="B18" s="126">
        <f>ROUND(B17*B12,0)</f>
        <v>55983</v>
      </c>
      <c r="C18" s="46">
        <f>ROUND(C12*C17,0)</f>
        <v>55944</v>
      </c>
      <c r="D18" s="50">
        <f>C18-B18</f>
        <v>-39</v>
      </c>
      <c r="E18" s="102">
        <f t="shared" si="0"/>
        <v>-6.9664005144418843E-4</v>
      </c>
    </row>
    <row r="19" spans="1:5" ht="18.3" x14ac:dyDescent="0.7">
      <c r="A19" s="130" t="s">
        <v>381</v>
      </c>
      <c r="B19" s="126">
        <f>INDEX(Data[FY2026 PD Budget Guarantee],MATCH(A7,Data[Label],0))</f>
        <v>0</v>
      </c>
      <c r="C19" s="46">
        <f>ROUND(MAX((B18-C18),0),0)</f>
        <v>39</v>
      </c>
      <c r="D19" s="50">
        <f>C19-B19</f>
        <v>39</v>
      </c>
      <c r="E19" s="102" t="str">
        <f t="shared" si="0"/>
        <v/>
      </c>
    </row>
    <row r="20" spans="1:5" ht="18.600000000000001" thickBot="1" x14ac:dyDescent="0.75">
      <c r="A20" s="131" t="s">
        <v>365</v>
      </c>
      <c r="B20" s="127">
        <f>B18+B19</f>
        <v>55983</v>
      </c>
      <c r="C20" s="47">
        <f>SUM(C18:C19)</f>
        <v>55983</v>
      </c>
      <c r="D20" s="51">
        <f>SUM(D18:D19)</f>
        <v>0</v>
      </c>
      <c r="E20" s="100">
        <f t="shared" si="0"/>
        <v>0</v>
      </c>
    </row>
    <row r="21" spans="1:5" ht="18.3" x14ac:dyDescent="0.7">
      <c r="A21" s="135" t="s">
        <v>366</v>
      </c>
      <c r="B21" s="128">
        <f>INDEX(Data[FY2026 Early Intervention],MATCH(A7,Data[Label],0))</f>
        <v>70.27</v>
      </c>
      <c r="C21" s="55">
        <f>B21+D21</f>
        <v>71.959999999999994</v>
      </c>
      <c r="D21" s="52">
        <f>ROUND(84.44*C7,2)</f>
        <v>1.69</v>
      </c>
      <c r="E21" s="101">
        <f t="shared" si="0"/>
        <v>2.4050092500355773E-2</v>
      </c>
    </row>
    <row r="22" spans="1:5" ht="18.3" x14ac:dyDescent="0.7">
      <c r="A22" s="129" t="s">
        <v>360</v>
      </c>
      <c r="B22" s="126">
        <f>ROUND(B21*B12,0)</f>
        <v>50826</v>
      </c>
      <c r="C22" s="46">
        <f>ROUND(C21*C12,0)</f>
        <v>50991</v>
      </c>
      <c r="D22" s="50">
        <f>C22-B22</f>
        <v>165</v>
      </c>
      <c r="E22" s="102">
        <f t="shared" si="0"/>
        <v>3.2463699681265492E-3</v>
      </c>
    </row>
    <row r="23" spans="1:5" ht="18.3" x14ac:dyDescent="0.7">
      <c r="A23" s="130" t="s">
        <v>382</v>
      </c>
      <c r="B23" s="126">
        <f>INDEX(Data[FY2026 Early Intervention Budget Guarantee],MATCH(A7,Data[Label],0))</f>
        <v>0</v>
      </c>
      <c r="C23" s="46">
        <f>ROUND(MAX((B22-C22),0),0)</f>
        <v>0</v>
      </c>
      <c r="D23" s="50">
        <f>C23-B23</f>
        <v>0</v>
      </c>
      <c r="E23" s="102" t="str">
        <f t="shared" si="0"/>
        <v/>
      </c>
    </row>
    <row r="24" spans="1:5" ht="18.600000000000001" thickBot="1" x14ac:dyDescent="0.75">
      <c r="A24" s="131" t="s">
        <v>367</v>
      </c>
      <c r="B24" s="127">
        <f>B22+B23</f>
        <v>50826</v>
      </c>
      <c r="C24" s="47">
        <f>SUM(C22:C23)</f>
        <v>50991</v>
      </c>
      <c r="D24" s="51">
        <f>C24-B24</f>
        <v>165</v>
      </c>
      <c r="E24" s="100">
        <f t="shared" si="0"/>
        <v>3.2463699681265492E-3</v>
      </c>
    </row>
    <row r="25" spans="1:5" ht="18.3" x14ac:dyDescent="0.7">
      <c r="A25" s="134" t="s">
        <v>368</v>
      </c>
      <c r="B25" s="128">
        <f>INDEX(Data[FY2026 TLC],MATCH(A7,Data[Label],0))</f>
        <v>385.29</v>
      </c>
      <c r="C25" s="55">
        <f>B25+D25</f>
        <v>393</v>
      </c>
      <c r="D25" s="52">
        <f>ROUND(B25*C7,2)</f>
        <v>7.71</v>
      </c>
      <c r="E25" s="101">
        <f t="shared" si="0"/>
        <v>2.0010900879856731E-2</v>
      </c>
    </row>
    <row r="26" spans="1:5" ht="18.3" x14ac:dyDescent="0.7">
      <c r="A26" s="129" t="s">
        <v>361</v>
      </c>
      <c r="B26" s="126">
        <f>ROUND(B12*B25,0)</f>
        <v>278680</v>
      </c>
      <c r="C26" s="46">
        <f>ROUND(C25*C12,0)</f>
        <v>278480</v>
      </c>
      <c r="D26" s="50">
        <f>C26-B26</f>
        <v>-200</v>
      </c>
      <c r="E26" s="102">
        <f t="shared" si="0"/>
        <v>-7.176690110521028E-4</v>
      </c>
    </row>
    <row r="27" spans="1:5" ht="18.3" x14ac:dyDescent="0.7">
      <c r="A27" s="130" t="s">
        <v>383</v>
      </c>
      <c r="B27" s="126">
        <f>INDEX(Data[FY2026 TLC Budget Gurantee],MATCH(A7,Data[Label],0))</f>
        <v>0</v>
      </c>
      <c r="C27" s="46">
        <f>ROUND(MAX((B26-C26),0),0)</f>
        <v>200</v>
      </c>
      <c r="D27" s="50">
        <f>C27-B27</f>
        <v>200</v>
      </c>
      <c r="E27" s="102" t="str">
        <f t="shared" si="0"/>
        <v/>
      </c>
    </row>
    <row r="28" spans="1:5" ht="18.600000000000001" thickBot="1" x14ac:dyDescent="0.75">
      <c r="A28" s="131" t="s">
        <v>384</v>
      </c>
      <c r="B28" s="127">
        <f>B26+B27</f>
        <v>278680</v>
      </c>
      <c r="C28" s="47">
        <f>SUM(C26:C27)</f>
        <v>278680</v>
      </c>
      <c r="D28" s="51">
        <f>C28-B28</f>
        <v>0</v>
      </c>
      <c r="E28" s="100">
        <f t="shared" si="0"/>
        <v>0</v>
      </c>
    </row>
    <row r="29" spans="1:5" ht="14.7" thickBot="1" x14ac:dyDescent="0.6">
      <c r="E29" s="103"/>
    </row>
    <row r="30" spans="1:5" ht="18.600000000000001" thickBot="1" x14ac:dyDescent="0.75">
      <c r="A30" s="97" t="s">
        <v>394</v>
      </c>
      <c r="B30" s="105">
        <f>B28+B24+B20+B16</f>
        <v>1097542</v>
      </c>
      <c r="C30" s="106">
        <f>C16+C20+C24+C28</f>
        <v>1097707</v>
      </c>
      <c r="D30" s="105">
        <f>C30-B30</f>
        <v>165</v>
      </c>
      <c r="E30" s="104">
        <f>D30/B30</f>
        <v>1.5033593247456588E-4</v>
      </c>
    </row>
    <row r="32" spans="1:5" x14ac:dyDescent="0.55000000000000004">
      <c r="A32" s="19" t="s">
        <v>408</v>
      </c>
    </row>
    <row r="33" spans="1:5" x14ac:dyDescent="0.55000000000000004">
      <c r="A33" s="19" t="s">
        <v>409</v>
      </c>
    </row>
    <row r="35" spans="1:5" x14ac:dyDescent="0.55000000000000004">
      <c r="E35" s="36" t="s">
        <v>397</v>
      </c>
    </row>
  </sheetData>
  <mergeCells count="2">
    <mergeCell ref="A4:E4"/>
    <mergeCell ref="A5:E5"/>
  </mergeCells>
  <pageMargins left="0.7" right="0.7" top="0.75" bottom="0.75" header="0.3" footer="0.3"/>
  <pageSetup scale="8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7"/>
  <sheetViews>
    <sheetView workbookViewId="0">
      <selection activeCell="C17" sqref="C17"/>
    </sheetView>
  </sheetViews>
  <sheetFormatPr defaultRowHeight="14.4" x14ac:dyDescent="0.55000000000000004"/>
  <cols>
    <col min="1" max="1" width="71.41796875" customWidth="1"/>
    <col min="2" max="5" width="18.578125" customWidth="1"/>
  </cols>
  <sheetData>
    <row r="1" spans="1:18" s="2" customFormat="1" x14ac:dyDescent="0.55000000000000004"/>
    <row r="2" spans="1:18" s="2" customFormat="1" x14ac:dyDescent="0.55000000000000004"/>
    <row r="3" spans="1:18" s="2" customFormat="1" x14ac:dyDescent="0.55000000000000004"/>
    <row r="4" spans="1:18" s="2" customFormat="1" ht="25.8" x14ac:dyDescent="0.95">
      <c r="A4" s="3" t="s">
        <v>400</v>
      </c>
      <c r="B4" s="4"/>
      <c r="C4" s="4"/>
      <c r="D4" s="4"/>
      <c r="E4" s="4"/>
    </row>
    <row r="5" spans="1:18" s="2" customFormat="1" x14ac:dyDescent="0.55000000000000004">
      <c r="A5" s="247" t="s">
        <v>389</v>
      </c>
      <c r="B5" s="247"/>
      <c r="C5" s="247"/>
      <c r="D5" s="247"/>
      <c r="E5" s="247"/>
    </row>
    <row r="6" spans="1:18" s="2" customFormat="1" ht="18.600000000000001" thickBot="1" x14ac:dyDescent="0.75">
      <c r="A6" s="6" t="s">
        <v>372</v>
      </c>
      <c r="C6" s="6" t="s">
        <v>373</v>
      </c>
      <c r="D6" s="6"/>
      <c r="E6" s="6"/>
      <c r="F6" s="6"/>
      <c r="H6" s="6"/>
      <c r="I6" s="6"/>
      <c r="J6" s="6"/>
      <c r="K6" s="6"/>
      <c r="L6" s="6"/>
      <c r="M6" s="6"/>
      <c r="N6" s="6"/>
      <c r="O6" s="6"/>
      <c r="P6" s="6"/>
      <c r="Q6" s="7"/>
      <c r="R6" s="5"/>
    </row>
    <row r="7" spans="1:18" ht="18.600000000000001" thickBot="1" x14ac:dyDescent="0.75">
      <c r="A7" s="160" t="str">
        <f>'District RPDC'!A7</f>
        <v>AGWSR</v>
      </c>
      <c r="C7" s="159">
        <f>'District RPDC'!C7</f>
        <v>0.02</v>
      </c>
    </row>
    <row r="8" spans="1:18" ht="15.75" customHeight="1" x14ac:dyDescent="0.55000000000000004"/>
    <row r="9" spans="1:18" ht="14.7" thickBot="1" x14ac:dyDescent="0.6"/>
    <row r="10" spans="1:18" ht="18.600000000000001" thickBot="1" x14ac:dyDescent="0.6">
      <c r="A10" s="139"/>
      <c r="B10" s="122" t="s">
        <v>369</v>
      </c>
      <c r="C10" s="69" t="s">
        <v>370</v>
      </c>
      <c r="D10" s="70" t="s">
        <v>339</v>
      </c>
      <c r="E10" s="71" t="s">
        <v>371</v>
      </c>
    </row>
    <row r="11" spans="1:18" ht="18.600000000000001" thickBot="1" x14ac:dyDescent="0.75">
      <c r="A11" s="140" t="s">
        <v>391</v>
      </c>
      <c r="B11" s="136">
        <f>'District RPDC'!B11</f>
        <v>704.3</v>
      </c>
      <c r="C11" s="59">
        <f>'District RPDC'!C11</f>
        <v>692.6</v>
      </c>
      <c r="D11" s="60">
        <f>C11-B11</f>
        <v>-11.699999999999932</v>
      </c>
      <c r="E11" s="61">
        <f>IFERROR(D11/B11,"")</f>
        <v>-1.6612239102655024E-2</v>
      </c>
    </row>
    <row r="12" spans="1:18" ht="18.3" x14ac:dyDescent="0.7">
      <c r="A12" s="135" t="s">
        <v>387</v>
      </c>
      <c r="B12" s="137">
        <f>INDEX(Data[FY2026 Media Services],MATCH(A7,Data[Label],0))</f>
        <v>65.290000000000006</v>
      </c>
      <c r="C12" s="62">
        <f>B12+D12</f>
        <v>66.600000000000009</v>
      </c>
      <c r="D12" s="44">
        <f>ROUND(B12*C7,2)</f>
        <v>1.31</v>
      </c>
      <c r="E12" s="40">
        <f t="shared" ref="E12:E15" si="0">IFERROR(D12/B12,"")</f>
        <v>2.0064328381069075E-2</v>
      </c>
    </row>
    <row r="13" spans="1:18" ht="18.600000000000001" thickBot="1" x14ac:dyDescent="0.75">
      <c r="A13" s="131" t="s">
        <v>388</v>
      </c>
      <c r="B13" s="138">
        <f>ROUND(B11*B12,0)</f>
        <v>45984</v>
      </c>
      <c r="C13" s="41">
        <f>ROUND(C11*C12,0)</f>
        <v>46127</v>
      </c>
      <c r="D13" s="42">
        <f>C13-B13</f>
        <v>143</v>
      </c>
      <c r="E13" s="43">
        <f t="shared" si="0"/>
        <v>3.1097773138482952E-3</v>
      </c>
    </row>
    <row r="14" spans="1:18" ht="18.3" x14ac:dyDescent="0.7">
      <c r="A14" s="134" t="s">
        <v>385</v>
      </c>
      <c r="B14" s="137">
        <f>INDEX(Data[FY2026 Ed Services],MATCH(A7,Data[Label],0))</f>
        <v>72.78</v>
      </c>
      <c r="C14" s="62">
        <f>B14+D14</f>
        <v>74.239999999999995</v>
      </c>
      <c r="D14" s="44">
        <f>ROUND(B14*C7,2)</f>
        <v>1.46</v>
      </c>
      <c r="E14" s="40">
        <f t="shared" si="0"/>
        <v>2.0060456169277274E-2</v>
      </c>
    </row>
    <row r="15" spans="1:18" ht="18.600000000000001" thickBot="1" x14ac:dyDescent="0.75">
      <c r="A15" s="131" t="s">
        <v>386</v>
      </c>
      <c r="B15" s="138">
        <f>ROUND(B14*B11,0)</f>
        <v>51259</v>
      </c>
      <c r="C15" s="41">
        <f>ROUND(C14*C11,0)</f>
        <v>51419</v>
      </c>
      <c r="D15" s="42">
        <f>C15-B15</f>
        <v>160</v>
      </c>
      <c r="E15" s="43">
        <f t="shared" si="0"/>
        <v>3.1214030706802707E-3</v>
      </c>
    </row>
    <row r="16" spans="1:18" ht="14.7" thickBot="1" x14ac:dyDescent="0.6"/>
    <row r="17" spans="1:5" ht="18.600000000000001" thickBot="1" x14ac:dyDescent="0.75">
      <c r="A17" s="26" t="s">
        <v>390</v>
      </c>
      <c r="B17" s="65">
        <f>B13+B15</f>
        <v>97243</v>
      </c>
      <c r="C17" s="67">
        <f t="shared" ref="C17:D17" si="1">C13+C15</f>
        <v>97546</v>
      </c>
      <c r="D17" s="66">
        <f t="shared" si="1"/>
        <v>303</v>
      </c>
      <c r="E17" s="64">
        <f>D17/B17</f>
        <v>3.1159055150499263E-3</v>
      </c>
    </row>
    <row r="20" spans="1:5" x14ac:dyDescent="0.55000000000000004">
      <c r="A20" t="s">
        <v>392</v>
      </c>
    </row>
    <row r="21" spans="1:5" x14ac:dyDescent="0.55000000000000004">
      <c r="A21" t="s">
        <v>407</v>
      </c>
    </row>
    <row r="22" spans="1:5" x14ac:dyDescent="0.55000000000000004">
      <c r="A22" t="s">
        <v>410</v>
      </c>
    </row>
    <row r="27" spans="1:5" x14ac:dyDescent="0.55000000000000004">
      <c r="E27" s="36" t="s">
        <v>397</v>
      </c>
    </row>
  </sheetData>
  <mergeCells count="1">
    <mergeCell ref="A5:E5"/>
  </mergeCells>
  <pageMargins left="0.7" right="0.7" top="0.75" bottom="0.75" header="0.3" footer="0.3"/>
  <pageSetup scale="84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E28"/>
  <sheetViews>
    <sheetView workbookViewId="0">
      <selection activeCell="C32" sqref="C32"/>
    </sheetView>
  </sheetViews>
  <sheetFormatPr defaultRowHeight="14.4" x14ac:dyDescent="0.55000000000000004"/>
  <cols>
    <col min="1" max="1" width="71.41796875" customWidth="1"/>
    <col min="2" max="5" width="18.578125" customWidth="1"/>
  </cols>
  <sheetData>
    <row r="4" spans="1:5" ht="25.8" x14ac:dyDescent="0.95">
      <c r="A4" s="3" t="s">
        <v>400</v>
      </c>
      <c r="B4" s="4"/>
      <c r="C4" s="4"/>
      <c r="D4" s="4"/>
      <c r="E4" s="4"/>
    </row>
    <row r="5" spans="1:5" x14ac:dyDescent="0.55000000000000004">
      <c r="A5" s="247" t="s">
        <v>393</v>
      </c>
      <c r="B5" s="247"/>
      <c r="C5" s="247"/>
      <c r="D5" s="247"/>
      <c r="E5" s="247"/>
    </row>
    <row r="6" spans="1:5" ht="18.600000000000001" thickBot="1" x14ac:dyDescent="0.75">
      <c r="A6" s="6" t="s">
        <v>372</v>
      </c>
      <c r="B6" s="2"/>
      <c r="C6" s="6" t="s">
        <v>373</v>
      </c>
      <c r="D6" s="6"/>
      <c r="E6" s="6"/>
    </row>
    <row r="7" spans="1:5" ht="18.600000000000001" thickBot="1" x14ac:dyDescent="0.75">
      <c r="A7" s="160" t="str">
        <f>'District RPDC'!A7</f>
        <v>AGWSR</v>
      </c>
      <c r="C7" s="159">
        <f>'District RPDC'!C7</f>
        <v>0.02</v>
      </c>
    </row>
    <row r="8" spans="1:5" ht="15.75" customHeight="1" x14ac:dyDescent="0.55000000000000004"/>
    <row r="9" spans="1:5" ht="14.7" thickBot="1" x14ac:dyDescent="0.6"/>
    <row r="10" spans="1:5" ht="18.600000000000001" thickBot="1" x14ac:dyDescent="0.6">
      <c r="A10" s="139"/>
      <c r="B10" s="68" t="s">
        <v>369</v>
      </c>
      <c r="C10" s="69" t="s">
        <v>370</v>
      </c>
      <c r="D10" s="70" t="s">
        <v>339</v>
      </c>
      <c r="E10" s="71" t="s">
        <v>371</v>
      </c>
    </row>
    <row r="11" spans="1:5" ht="18.600000000000001" thickBot="1" x14ac:dyDescent="0.75">
      <c r="A11" s="141" t="s">
        <v>345</v>
      </c>
      <c r="B11" s="93">
        <f>'District RPDC'!B15</f>
        <v>5675249</v>
      </c>
      <c r="C11" s="94">
        <f>'District RPDC'!C15</f>
        <v>5732001.7999999998</v>
      </c>
      <c r="D11" s="95">
        <f>C11-B11</f>
        <v>56752.799999999814</v>
      </c>
      <c r="E11" s="96">
        <f>D11/B11</f>
        <v>1.0000054623153946E-2</v>
      </c>
    </row>
    <row r="12" spans="1:5" ht="18.600000000000001" thickBot="1" x14ac:dyDescent="0.75">
      <c r="A12" s="89"/>
      <c r="B12" s="90"/>
      <c r="C12" s="90"/>
      <c r="D12" s="90"/>
      <c r="E12" s="92"/>
    </row>
    <row r="13" spans="1:5" ht="18.3" x14ac:dyDescent="0.7">
      <c r="A13" s="132" t="s">
        <v>363</v>
      </c>
      <c r="B13" s="142">
        <f>'District Categorical'!B16</f>
        <v>712053</v>
      </c>
      <c r="C13" s="110">
        <f>'District Categorical'!C16</f>
        <v>712053</v>
      </c>
      <c r="D13" s="109">
        <f t="shared" ref="D13:D23" si="0">C13-B13</f>
        <v>0</v>
      </c>
      <c r="E13" s="79">
        <f t="shared" ref="E13:E23" si="1">D13/B13</f>
        <v>0</v>
      </c>
    </row>
    <row r="14" spans="1:5" ht="18.3" x14ac:dyDescent="0.7">
      <c r="A14" s="130" t="s">
        <v>365</v>
      </c>
      <c r="B14" s="143">
        <f>'District Categorical'!B20</f>
        <v>55983</v>
      </c>
      <c r="C14" s="108">
        <f>'District Categorical'!C20</f>
        <v>55983</v>
      </c>
      <c r="D14" s="107">
        <f t="shared" si="0"/>
        <v>0</v>
      </c>
      <c r="E14" s="111">
        <f t="shared" si="1"/>
        <v>0</v>
      </c>
    </row>
    <row r="15" spans="1:5" ht="18.3" x14ac:dyDescent="0.7">
      <c r="A15" s="130" t="s">
        <v>367</v>
      </c>
      <c r="B15" s="143">
        <f>'District Categorical'!B24</f>
        <v>50826</v>
      </c>
      <c r="C15" s="108">
        <f>'District Categorical'!C24</f>
        <v>50991</v>
      </c>
      <c r="D15" s="107">
        <f t="shared" si="0"/>
        <v>165</v>
      </c>
      <c r="E15" s="111">
        <f t="shared" si="1"/>
        <v>3.2463699681265492E-3</v>
      </c>
    </row>
    <row r="16" spans="1:5" ht="18.3" x14ac:dyDescent="0.7">
      <c r="A16" s="130" t="s">
        <v>384</v>
      </c>
      <c r="B16" s="143">
        <f>'District Categorical'!B28</f>
        <v>278680</v>
      </c>
      <c r="C16" s="108">
        <f>'District Categorical'!C28</f>
        <v>278680</v>
      </c>
      <c r="D16" s="107">
        <f t="shared" si="0"/>
        <v>0</v>
      </c>
      <c r="E16" s="111">
        <f t="shared" si="1"/>
        <v>0</v>
      </c>
    </row>
    <row r="17" spans="1:5" ht="18.600000000000001" thickBot="1" x14ac:dyDescent="0.75">
      <c r="A17" s="131" t="s">
        <v>394</v>
      </c>
      <c r="B17" s="138">
        <f>SUM(B13:B16)</f>
        <v>1097542</v>
      </c>
      <c r="C17" s="41">
        <f>SUM(C13:C16)</f>
        <v>1097707</v>
      </c>
      <c r="D17" s="42">
        <f t="shared" si="0"/>
        <v>165</v>
      </c>
      <c r="E17" s="112">
        <f t="shared" si="1"/>
        <v>1.5033593247456588E-4</v>
      </c>
    </row>
    <row r="18" spans="1:5" ht="18.600000000000001" thickBot="1" x14ac:dyDescent="0.75">
      <c r="B18" s="90"/>
      <c r="C18" s="90"/>
      <c r="D18" s="27"/>
      <c r="E18" s="92"/>
    </row>
    <row r="19" spans="1:5" ht="18.3" x14ac:dyDescent="0.7">
      <c r="A19" s="144" t="s">
        <v>388</v>
      </c>
      <c r="B19" s="109">
        <f>'District Media and Ed Services'!B13</f>
        <v>45984</v>
      </c>
      <c r="C19" s="110">
        <f>'District Media and Ed Services'!C13</f>
        <v>46127</v>
      </c>
      <c r="D19" s="109">
        <f t="shared" si="0"/>
        <v>143</v>
      </c>
      <c r="E19" s="79">
        <f t="shared" si="1"/>
        <v>3.1097773138482952E-3</v>
      </c>
    </row>
    <row r="20" spans="1:5" ht="18.3" x14ac:dyDescent="0.7">
      <c r="A20" s="145" t="s">
        <v>386</v>
      </c>
      <c r="B20" s="107">
        <f>'District Media and Ed Services'!B15</f>
        <v>51259</v>
      </c>
      <c r="C20" s="108">
        <f>'District Media and Ed Services'!C15</f>
        <v>51419</v>
      </c>
      <c r="D20" s="107">
        <f t="shared" si="0"/>
        <v>160</v>
      </c>
      <c r="E20" s="111">
        <f t="shared" si="1"/>
        <v>3.1214030706802707E-3</v>
      </c>
    </row>
    <row r="21" spans="1:5" ht="18.600000000000001" thickBot="1" x14ac:dyDescent="0.75">
      <c r="A21" s="146" t="s">
        <v>395</v>
      </c>
      <c r="B21" s="42">
        <f>SUM(B19:B20)</f>
        <v>97243</v>
      </c>
      <c r="C21" s="41">
        <f>SUM(C19:C20)</f>
        <v>97546</v>
      </c>
      <c r="D21" s="42">
        <f t="shared" si="0"/>
        <v>303</v>
      </c>
      <c r="E21" s="112">
        <f t="shared" si="1"/>
        <v>3.1159055150499263E-3</v>
      </c>
    </row>
    <row r="22" spans="1:5" ht="18.600000000000001" thickBot="1" x14ac:dyDescent="0.75">
      <c r="B22" s="91"/>
      <c r="C22" s="90"/>
      <c r="D22" s="27"/>
      <c r="E22" s="92"/>
    </row>
    <row r="23" spans="1:5" ht="18.600000000000001" thickBot="1" x14ac:dyDescent="0.75">
      <c r="A23" s="97" t="s">
        <v>396</v>
      </c>
      <c r="B23" s="95">
        <f>B11+B17+B21</f>
        <v>6870034</v>
      </c>
      <c r="C23" s="94">
        <f>C11+C17+C21</f>
        <v>6927254.7999999998</v>
      </c>
      <c r="D23" s="95">
        <f t="shared" si="0"/>
        <v>57220.799999999814</v>
      </c>
      <c r="E23" s="96">
        <f t="shared" si="1"/>
        <v>8.3290417485560944E-3</v>
      </c>
    </row>
    <row r="24" spans="1:5" ht="18.3" x14ac:dyDescent="0.7">
      <c r="D24" s="27"/>
    </row>
    <row r="28" spans="1:5" x14ac:dyDescent="0.55000000000000004">
      <c r="E28" s="36" t="s">
        <v>397</v>
      </c>
    </row>
  </sheetData>
  <mergeCells count="1">
    <mergeCell ref="A5:E5"/>
  </mergeCells>
  <pageMargins left="0.7" right="0.7" top="0.75" bottom="0.75" header="0.3" footer="0.3"/>
  <pageSetup scale="84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341"/>
  <sheetViews>
    <sheetView workbookViewId="0">
      <pane ySplit="9" topLeftCell="A10" activePane="bottomLeft" state="frozen"/>
      <selection pane="bottomLeft" activeCell="L342" sqref="L342"/>
    </sheetView>
  </sheetViews>
  <sheetFormatPr defaultRowHeight="14.4" x14ac:dyDescent="0.55000000000000004"/>
  <cols>
    <col min="1" max="1" width="35.26171875" customWidth="1"/>
    <col min="2" max="2" width="11.26171875" customWidth="1"/>
    <col min="4" max="4" width="15.26171875" bestFit="1" customWidth="1"/>
    <col min="5" max="5" width="14.41796875" customWidth="1"/>
    <col min="6" max="6" width="15.26171875" bestFit="1" customWidth="1"/>
    <col min="7" max="7" width="11.578125" bestFit="1" customWidth="1"/>
    <col min="9" max="9" width="15.26171875" bestFit="1" customWidth="1"/>
    <col min="10" max="10" width="13" bestFit="1" customWidth="1"/>
    <col min="11" max="11" width="15.26171875" bestFit="1" customWidth="1"/>
    <col min="12" max="12" width="12.578125" bestFit="1" customWidth="1"/>
    <col min="13" max="13" width="8.26171875" bestFit="1" customWidth="1"/>
    <col min="14" max="14" width="8.68359375" customWidth="1"/>
  </cols>
  <sheetData>
    <row r="3" spans="1:15" ht="21" customHeight="1" x14ac:dyDescent="0.95">
      <c r="A3" s="248" t="s">
        <v>400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</row>
    <row r="4" spans="1:15" x14ac:dyDescent="0.55000000000000004">
      <c r="A4" s="247" t="s">
        <v>453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</row>
    <row r="5" spans="1:15" ht="14.7" thickBot="1" x14ac:dyDescent="0.6">
      <c r="B5" t="s">
        <v>423</v>
      </c>
      <c r="E5" s="2" t="s">
        <v>422</v>
      </c>
    </row>
    <row r="6" spans="1:15" ht="14.7" thickBot="1" x14ac:dyDescent="0.6">
      <c r="B6" s="167">
        <f>Instuctions!C7</f>
        <v>0.02</v>
      </c>
      <c r="E6" s="166">
        <f>Instuctions!E7</f>
        <v>0</v>
      </c>
    </row>
    <row r="7" spans="1:15" ht="14.7" thickBot="1" x14ac:dyDescent="0.6">
      <c r="B7" s="37"/>
    </row>
    <row r="8" spans="1:15" ht="14.7" thickBot="1" x14ac:dyDescent="0.6">
      <c r="A8" s="163"/>
      <c r="B8" s="252" t="s">
        <v>338</v>
      </c>
      <c r="C8" s="253"/>
      <c r="D8" s="253"/>
      <c r="E8" s="253"/>
      <c r="F8" s="254"/>
      <c r="G8" s="249" t="s">
        <v>348</v>
      </c>
      <c r="H8" s="250"/>
      <c r="I8" s="250"/>
      <c r="J8" s="250"/>
      <c r="K8" s="250"/>
      <c r="L8" s="250"/>
      <c r="M8" s="250"/>
      <c r="N8" s="250"/>
      <c r="O8" s="251"/>
    </row>
    <row r="9" spans="1:15" ht="50.1" x14ac:dyDescent="0.55000000000000004">
      <c r="A9" s="196" t="s">
        <v>417</v>
      </c>
      <c r="B9" s="191" t="s">
        <v>341</v>
      </c>
      <c r="C9" s="164" t="s">
        <v>342</v>
      </c>
      <c r="D9" s="164" t="s">
        <v>343</v>
      </c>
      <c r="E9" s="164" t="s">
        <v>344</v>
      </c>
      <c r="F9" s="192" t="s">
        <v>345</v>
      </c>
      <c r="G9" s="173" t="s">
        <v>341</v>
      </c>
      <c r="H9" s="174" t="s">
        <v>342</v>
      </c>
      <c r="I9" s="174" t="s">
        <v>343</v>
      </c>
      <c r="J9" s="174" t="s">
        <v>344</v>
      </c>
      <c r="K9" s="174" t="s">
        <v>345</v>
      </c>
      <c r="L9" s="174" t="s">
        <v>418</v>
      </c>
      <c r="M9" s="174" t="s">
        <v>419</v>
      </c>
      <c r="N9" s="174" t="s">
        <v>420</v>
      </c>
      <c r="O9" s="175" t="s">
        <v>421</v>
      </c>
    </row>
    <row r="10" spans="1:15" x14ac:dyDescent="0.55000000000000004">
      <c r="A10" s="197" t="s">
        <v>3</v>
      </c>
      <c r="B10" s="176">
        <f>INDEX(Data[FY2026 Budget Enrollment],MATCH(A10,Data[Label],0))</f>
        <v>704.3</v>
      </c>
      <c r="C10" s="177">
        <f>INDEX(Data[FY26 RPDC Per Student],MATCH(A10,Data[Label],0))</f>
        <v>8058</v>
      </c>
      <c r="D10" s="177">
        <f>INDEX(Data[FY2026 RPDC Total],MATCH(A10,Data[Label],0))</f>
        <v>5675249</v>
      </c>
      <c r="E10" s="177">
        <f>INDEX(Data[FY2026 RPDC Budget Guarantee],MATCH(A10,Data[Label],0))</f>
        <v>0</v>
      </c>
      <c r="F10" s="193">
        <f>D10+E10</f>
        <v>5675249</v>
      </c>
      <c r="G10" s="176">
        <f>INDEX(Data[FY2027 Budget Enrollment],MATCH(A10,Data[Label],0))</f>
        <v>692.6</v>
      </c>
      <c r="H10" s="177">
        <f>MAX(7988+ROUND(7988*$B$6,0)+$E$6,C10+ROUND(7988*$B$6,0))</f>
        <v>8218</v>
      </c>
      <c r="I10" s="177">
        <f>G10*H10</f>
        <v>5691786.7999999998</v>
      </c>
      <c r="J10" s="177">
        <f>ROUND(MAX((D10*1.01)-I10,0),0)</f>
        <v>40215</v>
      </c>
      <c r="K10" s="177">
        <f>I10+J10</f>
        <v>5732001.7999999998</v>
      </c>
      <c r="L10" s="177">
        <f>K10-F10</f>
        <v>56752.799999999814</v>
      </c>
      <c r="M10" s="178">
        <f>L10/F10</f>
        <v>1.0000054623153946E-2</v>
      </c>
      <c r="N10" s="179">
        <f>G10-B10</f>
        <v>-11.699999999999932</v>
      </c>
      <c r="O10" s="180">
        <f>N10/B10</f>
        <v>-1.6612239102655024E-2</v>
      </c>
    </row>
    <row r="11" spans="1:15" x14ac:dyDescent="0.55000000000000004">
      <c r="A11" s="198" t="s">
        <v>4</v>
      </c>
      <c r="B11" s="181">
        <f>INDEX(Data[FY2026 Budget Enrollment],MATCH(A11,Data[Label],0))</f>
        <v>788.2</v>
      </c>
      <c r="C11" s="182">
        <f>INDEX(Data[FY26 RPDC Per Student],MATCH(A11,Data[Label],0))</f>
        <v>7993</v>
      </c>
      <c r="D11" s="182">
        <f>INDEX(Data[FY2026 RPDC Total],MATCH(A11,Data[Label],0))</f>
        <v>6300083</v>
      </c>
      <c r="E11" s="182">
        <f>INDEX(Data[FY2026 RPDC Budget Guarantee],MATCH(A11,Data[Label],0))</f>
        <v>0</v>
      </c>
      <c r="F11" s="194">
        <f t="shared" ref="F11:F74" si="0">D11+E11</f>
        <v>6300083</v>
      </c>
      <c r="G11" s="181">
        <f>INDEX(Data[FY2027 Budget Enrollment],MATCH(A11,Data[Label],0))</f>
        <v>763.2</v>
      </c>
      <c r="H11" s="182">
        <f t="shared" ref="H11:H74" si="1">MAX(7988+ROUND(7988*$B$6,0)+$E$6,C11+ROUND(7988*$B$6,0))</f>
        <v>8153</v>
      </c>
      <c r="I11" s="182">
        <f t="shared" ref="I11:I74" si="2">G11*H11</f>
        <v>6222369.6000000006</v>
      </c>
      <c r="J11" s="182">
        <f t="shared" ref="J11:J74" si="3">ROUND(MAX((D11*1.01)-I11,0),0)</f>
        <v>140714</v>
      </c>
      <c r="K11" s="182">
        <f t="shared" ref="K11:K74" si="4">I11+J11</f>
        <v>6363083.6000000006</v>
      </c>
      <c r="L11" s="182">
        <f t="shared" ref="L11:L74" si="5">K11-F11</f>
        <v>63000.600000000559</v>
      </c>
      <c r="M11" s="183">
        <f t="shared" ref="M11:M74" si="6">L11/F11</f>
        <v>9.9999634925445526E-3</v>
      </c>
      <c r="N11" s="184">
        <f t="shared" ref="N11:N74" si="7">G11-B11</f>
        <v>-25</v>
      </c>
      <c r="O11" s="185">
        <f t="shared" ref="O11:O74" si="8">N11/B11</f>
        <v>-3.1717838112154277E-2</v>
      </c>
    </row>
    <row r="12" spans="1:15" x14ac:dyDescent="0.55000000000000004">
      <c r="A12" s="197" t="s">
        <v>5</v>
      </c>
      <c r="B12" s="176">
        <f>INDEX(Data[FY2026 Budget Enrollment],MATCH(A12,Data[Label],0))</f>
        <v>294.10000000000002</v>
      </c>
      <c r="C12" s="177">
        <f>INDEX(Data[FY26 RPDC Per Student],MATCH(A12,Data[Label],0))</f>
        <v>7988</v>
      </c>
      <c r="D12" s="177">
        <f>INDEX(Data[FY2026 RPDC Total],MATCH(A12,Data[Label],0))</f>
        <v>2349271</v>
      </c>
      <c r="E12" s="177">
        <f>INDEX(Data[FY2026 RPDC Budget Guarantee],MATCH(A12,Data[Label],0))</f>
        <v>0</v>
      </c>
      <c r="F12" s="193">
        <f t="shared" si="0"/>
        <v>2349271</v>
      </c>
      <c r="G12" s="176">
        <f>INDEX(Data[FY2027 Budget Enrollment],MATCH(A12,Data[Label],0))</f>
        <v>293.2</v>
      </c>
      <c r="H12" s="177">
        <f t="shared" si="1"/>
        <v>8148</v>
      </c>
      <c r="I12" s="177">
        <f t="shared" si="2"/>
        <v>2388993.6</v>
      </c>
      <c r="J12" s="177">
        <f t="shared" si="3"/>
        <v>0</v>
      </c>
      <c r="K12" s="177">
        <f t="shared" si="4"/>
        <v>2388993.6</v>
      </c>
      <c r="L12" s="177">
        <f t="shared" si="5"/>
        <v>39722.600000000093</v>
      </c>
      <c r="M12" s="178">
        <f t="shared" si="6"/>
        <v>1.6908479268675301E-2</v>
      </c>
      <c r="N12" s="179">
        <f t="shared" si="7"/>
        <v>-0.90000000000003411</v>
      </c>
      <c r="O12" s="180">
        <f t="shared" si="8"/>
        <v>-3.0601836110167768E-3</v>
      </c>
    </row>
    <row r="13" spans="1:15" x14ac:dyDescent="0.55000000000000004">
      <c r="A13" s="198" t="s">
        <v>6</v>
      </c>
      <c r="B13" s="181">
        <f>INDEX(Data[FY2026 Budget Enrollment],MATCH(A13,Data[Label],0))</f>
        <v>2171</v>
      </c>
      <c r="C13" s="182">
        <f>INDEX(Data[FY26 RPDC Per Student],MATCH(A13,Data[Label],0))</f>
        <v>7988</v>
      </c>
      <c r="D13" s="182">
        <f>INDEX(Data[FY2026 RPDC Total],MATCH(A13,Data[Label],0))</f>
        <v>17341948</v>
      </c>
      <c r="E13" s="182">
        <f>INDEX(Data[FY2026 RPDC Budget Guarantee],MATCH(A13,Data[Label],0))</f>
        <v>0</v>
      </c>
      <c r="F13" s="194">
        <f t="shared" si="0"/>
        <v>17341948</v>
      </c>
      <c r="G13" s="181">
        <f>INDEX(Data[FY2027 Budget Enrollment],MATCH(A13,Data[Label],0))</f>
        <v>2192.4</v>
      </c>
      <c r="H13" s="182">
        <f t="shared" si="1"/>
        <v>8148</v>
      </c>
      <c r="I13" s="182">
        <f t="shared" si="2"/>
        <v>17863675.199999999</v>
      </c>
      <c r="J13" s="182">
        <f t="shared" si="3"/>
        <v>0</v>
      </c>
      <c r="K13" s="182">
        <f t="shared" si="4"/>
        <v>17863675.199999999</v>
      </c>
      <c r="L13" s="182">
        <f t="shared" si="5"/>
        <v>521727.19999999925</v>
      </c>
      <c r="M13" s="183">
        <f t="shared" si="6"/>
        <v>3.0084694060897844E-2</v>
      </c>
      <c r="N13" s="184">
        <f t="shared" si="7"/>
        <v>21.400000000000091</v>
      </c>
      <c r="O13" s="185">
        <f t="shared" si="8"/>
        <v>9.8572086596039107E-3</v>
      </c>
    </row>
    <row r="14" spans="1:15" x14ac:dyDescent="0.55000000000000004">
      <c r="A14" s="197" t="s">
        <v>7</v>
      </c>
      <c r="B14" s="176">
        <f>INDEX(Data[FY2026 Budget Enrollment],MATCH(A14,Data[Label],0))</f>
        <v>527.4</v>
      </c>
      <c r="C14" s="177">
        <f>INDEX(Data[FY26 RPDC Per Student],MATCH(A14,Data[Label],0))</f>
        <v>7999</v>
      </c>
      <c r="D14" s="177">
        <f>INDEX(Data[FY2026 RPDC Total],MATCH(A14,Data[Label],0))</f>
        <v>4218673</v>
      </c>
      <c r="E14" s="177">
        <f>INDEX(Data[FY2026 RPDC Budget Guarantee],MATCH(A14,Data[Label],0))</f>
        <v>38553</v>
      </c>
      <c r="F14" s="193">
        <f t="shared" si="0"/>
        <v>4257226</v>
      </c>
      <c r="G14" s="176">
        <f>INDEX(Data[FY2027 Budget Enrollment],MATCH(A14,Data[Label],0))</f>
        <v>515.20000000000005</v>
      </c>
      <c r="H14" s="177">
        <f t="shared" si="1"/>
        <v>8159</v>
      </c>
      <c r="I14" s="177">
        <f t="shared" si="2"/>
        <v>4203516.8000000007</v>
      </c>
      <c r="J14" s="177">
        <f t="shared" si="3"/>
        <v>57343</v>
      </c>
      <c r="K14" s="177">
        <f t="shared" si="4"/>
        <v>4260859.8000000007</v>
      </c>
      <c r="L14" s="177">
        <f t="shared" si="5"/>
        <v>3633.8000000007451</v>
      </c>
      <c r="M14" s="178">
        <f t="shared" si="6"/>
        <v>8.5356051099959101E-4</v>
      </c>
      <c r="N14" s="179">
        <f t="shared" si="7"/>
        <v>-12.199999999999932</v>
      </c>
      <c r="O14" s="180">
        <f t="shared" si="8"/>
        <v>-2.3132347364429148E-2</v>
      </c>
    </row>
    <row r="15" spans="1:15" x14ac:dyDescent="0.55000000000000004">
      <c r="A15" s="198" t="s">
        <v>8</v>
      </c>
      <c r="B15" s="181">
        <f>INDEX(Data[FY2026 Budget Enrollment],MATCH(A15,Data[Label],0))</f>
        <v>206.3</v>
      </c>
      <c r="C15" s="182">
        <f>INDEX(Data[FY26 RPDC Per Student],MATCH(A15,Data[Label],0))</f>
        <v>8029</v>
      </c>
      <c r="D15" s="182">
        <f>INDEX(Data[FY2026 RPDC Total],MATCH(A15,Data[Label],0))</f>
        <v>1656383</v>
      </c>
      <c r="E15" s="182">
        <f>INDEX(Data[FY2026 RPDC Budget Guarantee],MATCH(A15,Data[Label],0))</f>
        <v>0</v>
      </c>
      <c r="F15" s="194">
        <f t="shared" si="0"/>
        <v>1656383</v>
      </c>
      <c r="G15" s="181">
        <f>INDEX(Data[FY2027 Budget Enrollment],MATCH(A15,Data[Label],0))</f>
        <v>192.3</v>
      </c>
      <c r="H15" s="182">
        <f t="shared" si="1"/>
        <v>8189</v>
      </c>
      <c r="I15" s="182">
        <f t="shared" si="2"/>
        <v>1574744.7000000002</v>
      </c>
      <c r="J15" s="182">
        <f t="shared" si="3"/>
        <v>98202</v>
      </c>
      <c r="K15" s="182">
        <f t="shared" si="4"/>
        <v>1672946.7000000002</v>
      </c>
      <c r="L15" s="182">
        <f t="shared" si="5"/>
        <v>16563.700000000186</v>
      </c>
      <c r="M15" s="183">
        <f t="shared" si="6"/>
        <v>9.9999215157365092E-3</v>
      </c>
      <c r="N15" s="184">
        <f t="shared" si="7"/>
        <v>-14</v>
      </c>
      <c r="O15" s="185">
        <f t="shared" si="8"/>
        <v>-6.786233640329617E-2</v>
      </c>
    </row>
    <row r="16" spans="1:15" x14ac:dyDescent="0.55000000000000004">
      <c r="A16" s="197" t="s">
        <v>9</v>
      </c>
      <c r="B16" s="176">
        <f>INDEX(Data[FY2026 Budget Enrollment],MATCH(A16,Data[Label],0))</f>
        <v>1080.8</v>
      </c>
      <c r="C16" s="177">
        <f>INDEX(Data[FY26 RPDC Per Student],MATCH(A16,Data[Label],0))</f>
        <v>7988</v>
      </c>
      <c r="D16" s="177">
        <f>INDEX(Data[FY2026 RPDC Total],MATCH(A16,Data[Label],0))</f>
        <v>8633430</v>
      </c>
      <c r="E16" s="177">
        <f>INDEX(Data[FY2026 RPDC Budget Guarantee],MATCH(A16,Data[Label],0))</f>
        <v>0</v>
      </c>
      <c r="F16" s="193">
        <f t="shared" si="0"/>
        <v>8633430</v>
      </c>
      <c r="G16" s="176">
        <f>INDEX(Data[FY2027 Budget Enrollment],MATCH(A16,Data[Label],0))</f>
        <v>1074.2</v>
      </c>
      <c r="H16" s="177">
        <f t="shared" si="1"/>
        <v>8148</v>
      </c>
      <c r="I16" s="177">
        <f t="shared" si="2"/>
        <v>8752581.5999999996</v>
      </c>
      <c r="J16" s="177">
        <f t="shared" si="3"/>
        <v>0</v>
      </c>
      <c r="K16" s="177">
        <f t="shared" si="4"/>
        <v>8752581.5999999996</v>
      </c>
      <c r="L16" s="177">
        <f t="shared" si="5"/>
        <v>119151.59999999963</v>
      </c>
      <c r="M16" s="178">
        <f t="shared" si="6"/>
        <v>1.3801189098654836E-2</v>
      </c>
      <c r="N16" s="179">
        <f t="shared" si="7"/>
        <v>-6.5999999999999091</v>
      </c>
      <c r="O16" s="180">
        <f t="shared" si="8"/>
        <v>-6.1065877128052455E-3</v>
      </c>
    </row>
    <row r="17" spans="1:15" x14ac:dyDescent="0.55000000000000004">
      <c r="A17" s="198" t="s">
        <v>10</v>
      </c>
      <c r="B17" s="181">
        <f>INDEX(Data[FY2026 Budget Enrollment],MATCH(A17,Data[Label],0))</f>
        <v>541.5</v>
      </c>
      <c r="C17" s="182">
        <f>INDEX(Data[FY26 RPDC Per Student],MATCH(A17,Data[Label],0))</f>
        <v>7988</v>
      </c>
      <c r="D17" s="182">
        <f>INDEX(Data[FY2026 RPDC Total],MATCH(A17,Data[Label],0))</f>
        <v>4325502</v>
      </c>
      <c r="E17" s="182">
        <f>INDEX(Data[FY2026 RPDC Budget Guarantee],MATCH(A17,Data[Label],0))</f>
        <v>0</v>
      </c>
      <c r="F17" s="194">
        <f t="shared" si="0"/>
        <v>4325502</v>
      </c>
      <c r="G17" s="181">
        <f>INDEX(Data[FY2027 Budget Enrollment],MATCH(A17,Data[Label],0))</f>
        <v>526.29999999999995</v>
      </c>
      <c r="H17" s="182">
        <f t="shared" si="1"/>
        <v>8148</v>
      </c>
      <c r="I17" s="182">
        <f t="shared" si="2"/>
        <v>4288292.3999999994</v>
      </c>
      <c r="J17" s="182">
        <f t="shared" si="3"/>
        <v>80465</v>
      </c>
      <c r="K17" s="182">
        <f t="shared" si="4"/>
        <v>4368757.3999999994</v>
      </c>
      <c r="L17" s="182">
        <f t="shared" si="5"/>
        <v>43255.399999999441</v>
      </c>
      <c r="M17" s="183">
        <f t="shared" si="6"/>
        <v>1.0000087851074729E-2</v>
      </c>
      <c r="N17" s="184">
        <f t="shared" si="7"/>
        <v>-15.200000000000045</v>
      </c>
      <c r="O17" s="185">
        <f t="shared" si="8"/>
        <v>-2.8070175438596575E-2</v>
      </c>
    </row>
    <row r="18" spans="1:15" x14ac:dyDescent="0.55000000000000004">
      <c r="A18" s="197" t="s">
        <v>11</v>
      </c>
      <c r="B18" s="176">
        <f>INDEX(Data[FY2026 Budget Enrollment],MATCH(A18,Data[Label],0))</f>
        <v>253.4</v>
      </c>
      <c r="C18" s="177">
        <f>INDEX(Data[FY26 RPDC Per Student],MATCH(A18,Data[Label],0))</f>
        <v>7988</v>
      </c>
      <c r="D18" s="177">
        <f>INDEX(Data[FY2026 RPDC Total],MATCH(A18,Data[Label],0))</f>
        <v>2024159</v>
      </c>
      <c r="E18" s="177">
        <f>INDEX(Data[FY2026 RPDC Budget Guarantee],MATCH(A18,Data[Label],0))</f>
        <v>88650</v>
      </c>
      <c r="F18" s="193">
        <f t="shared" si="0"/>
        <v>2112809</v>
      </c>
      <c r="G18" s="176">
        <f>INDEX(Data[FY2027 Budget Enrollment],MATCH(A18,Data[Label],0))</f>
        <v>243.2</v>
      </c>
      <c r="H18" s="177">
        <f t="shared" si="1"/>
        <v>8148</v>
      </c>
      <c r="I18" s="177">
        <f t="shared" si="2"/>
        <v>1981593.5999999999</v>
      </c>
      <c r="J18" s="177">
        <f t="shared" si="3"/>
        <v>62807</v>
      </c>
      <c r="K18" s="177">
        <f t="shared" si="4"/>
        <v>2044400.5999999999</v>
      </c>
      <c r="L18" s="177">
        <f t="shared" si="5"/>
        <v>-68408.40000000014</v>
      </c>
      <c r="M18" s="178">
        <f t="shared" si="6"/>
        <v>-3.2377938564252681E-2</v>
      </c>
      <c r="N18" s="179">
        <f t="shared" si="7"/>
        <v>-10.200000000000017</v>
      </c>
      <c r="O18" s="180">
        <f t="shared" si="8"/>
        <v>-4.0252565114443632E-2</v>
      </c>
    </row>
    <row r="19" spans="1:15" x14ac:dyDescent="0.55000000000000004">
      <c r="A19" s="198" t="s">
        <v>12</v>
      </c>
      <c r="B19" s="181">
        <f>INDEX(Data[FY2026 Budget Enrollment],MATCH(A19,Data[Label],0))</f>
        <v>1447.2</v>
      </c>
      <c r="C19" s="182">
        <f>INDEX(Data[FY26 RPDC Per Student],MATCH(A19,Data[Label],0))</f>
        <v>7997</v>
      </c>
      <c r="D19" s="182">
        <f>INDEX(Data[FY2026 RPDC Total],MATCH(A19,Data[Label],0))</f>
        <v>11573258</v>
      </c>
      <c r="E19" s="182">
        <f>INDEX(Data[FY2026 RPDC Budget Guarantee],MATCH(A19,Data[Label],0))</f>
        <v>0</v>
      </c>
      <c r="F19" s="194">
        <f t="shared" si="0"/>
        <v>11573258</v>
      </c>
      <c r="G19" s="181">
        <f>INDEX(Data[FY2027 Budget Enrollment],MATCH(A19,Data[Label],0))</f>
        <v>1422.1</v>
      </c>
      <c r="H19" s="182">
        <f t="shared" si="1"/>
        <v>8157</v>
      </c>
      <c r="I19" s="182">
        <f t="shared" si="2"/>
        <v>11600069.699999999</v>
      </c>
      <c r="J19" s="182">
        <f t="shared" si="3"/>
        <v>88921</v>
      </c>
      <c r="K19" s="182">
        <f t="shared" si="4"/>
        <v>11688990.699999999</v>
      </c>
      <c r="L19" s="182">
        <f t="shared" si="5"/>
        <v>115732.69999999925</v>
      </c>
      <c r="M19" s="183">
        <f t="shared" si="6"/>
        <v>1.0000010368731022E-2</v>
      </c>
      <c r="N19" s="184">
        <f t="shared" si="7"/>
        <v>-25.100000000000136</v>
      </c>
      <c r="O19" s="185">
        <f t="shared" si="8"/>
        <v>-1.7343836373687214E-2</v>
      </c>
    </row>
    <row r="20" spans="1:15" x14ac:dyDescent="0.55000000000000004">
      <c r="A20" s="197" t="s">
        <v>13</v>
      </c>
      <c r="B20" s="176">
        <f>INDEX(Data[FY2026 Budget Enrollment],MATCH(A20,Data[Label],0))</f>
        <v>1104.7</v>
      </c>
      <c r="C20" s="177">
        <f>INDEX(Data[FY26 RPDC Per Student],MATCH(A20,Data[Label],0))</f>
        <v>8030</v>
      </c>
      <c r="D20" s="177">
        <f>INDEX(Data[FY2026 RPDC Total],MATCH(A20,Data[Label],0))</f>
        <v>8870741</v>
      </c>
      <c r="E20" s="177">
        <f>INDEX(Data[FY2026 RPDC Budget Guarantee],MATCH(A20,Data[Label],0))</f>
        <v>0</v>
      </c>
      <c r="F20" s="193">
        <f t="shared" si="0"/>
        <v>8870741</v>
      </c>
      <c r="G20" s="176">
        <f>INDEX(Data[FY2027 Budget Enrollment],MATCH(A20,Data[Label],0))</f>
        <v>1090.5</v>
      </c>
      <c r="H20" s="177">
        <f t="shared" si="1"/>
        <v>8190</v>
      </c>
      <c r="I20" s="177">
        <f t="shared" si="2"/>
        <v>8931195</v>
      </c>
      <c r="J20" s="177">
        <f t="shared" si="3"/>
        <v>28253</v>
      </c>
      <c r="K20" s="177">
        <f t="shared" si="4"/>
        <v>8959448</v>
      </c>
      <c r="L20" s="177">
        <f t="shared" si="5"/>
        <v>88707</v>
      </c>
      <c r="M20" s="178">
        <f t="shared" si="6"/>
        <v>9.9999537806368145E-3</v>
      </c>
      <c r="N20" s="179">
        <f t="shared" si="7"/>
        <v>-14.200000000000045</v>
      </c>
      <c r="O20" s="180">
        <f t="shared" si="8"/>
        <v>-1.2854168552548244E-2</v>
      </c>
    </row>
    <row r="21" spans="1:15" x14ac:dyDescent="0.55000000000000004">
      <c r="A21" s="198" t="s">
        <v>14</v>
      </c>
      <c r="B21" s="181">
        <f>INDEX(Data[FY2026 Budget Enrollment],MATCH(A21,Data[Label],0))</f>
        <v>855.6</v>
      </c>
      <c r="C21" s="182">
        <f>INDEX(Data[FY26 RPDC Per Student],MATCH(A21,Data[Label],0))</f>
        <v>7988</v>
      </c>
      <c r="D21" s="182">
        <f>INDEX(Data[FY2026 RPDC Total],MATCH(A21,Data[Label],0))</f>
        <v>6834533</v>
      </c>
      <c r="E21" s="182">
        <f>INDEX(Data[FY2026 RPDC Budget Guarantee],MATCH(A21,Data[Label],0))</f>
        <v>0</v>
      </c>
      <c r="F21" s="194">
        <f t="shared" si="0"/>
        <v>6834533</v>
      </c>
      <c r="G21" s="181">
        <f>INDEX(Data[FY2027 Budget Enrollment],MATCH(A21,Data[Label],0))</f>
        <v>887.3</v>
      </c>
      <c r="H21" s="182">
        <f t="shared" si="1"/>
        <v>8148</v>
      </c>
      <c r="I21" s="182">
        <f t="shared" si="2"/>
        <v>7229720.3999999994</v>
      </c>
      <c r="J21" s="182">
        <f t="shared" si="3"/>
        <v>0</v>
      </c>
      <c r="K21" s="182">
        <f t="shared" si="4"/>
        <v>7229720.3999999994</v>
      </c>
      <c r="L21" s="182">
        <f t="shared" si="5"/>
        <v>395187.39999999944</v>
      </c>
      <c r="M21" s="183">
        <f t="shared" si="6"/>
        <v>5.7822151125760814E-2</v>
      </c>
      <c r="N21" s="184">
        <f t="shared" si="7"/>
        <v>31.699999999999932</v>
      </c>
      <c r="O21" s="185">
        <f t="shared" si="8"/>
        <v>3.705002337540899E-2</v>
      </c>
    </row>
    <row r="22" spans="1:15" x14ac:dyDescent="0.55000000000000004">
      <c r="A22" s="197" t="s">
        <v>15</v>
      </c>
      <c r="B22" s="176">
        <f>INDEX(Data[FY2026 Budget Enrollment],MATCH(A22,Data[Label],0))</f>
        <v>4534</v>
      </c>
      <c r="C22" s="177">
        <f>INDEX(Data[FY26 RPDC Per Student],MATCH(A22,Data[Label],0))</f>
        <v>8038</v>
      </c>
      <c r="D22" s="177">
        <f>INDEX(Data[FY2026 RPDC Total],MATCH(A22,Data[Label],0))</f>
        <v>36444292</v>
      </c>
      <c r="E22" s="177">
        <f>INDEX(Data[FY2026 RPDC Budget Guarantee],MATCH(A22,Data[Label],0))</f>
        <v>0</v>
      </c>
      <c r="F22" s="193">
        <f t="shared" si="0"/>
        <v>36444292</v>
      </c>
      <c r="G22" s="176">
        <f>INDEX(Data[FY2027 Budget Enrollment],MATCH(A22,Data[Label],0))</f>
        <v>4468.8999999999996</v>
      </c>
      <c r="H22" s="177">
        <f t="shared" si="1"/>
        <v>8198</v>
      </c>
      <c r="I22" s="177">
        <f t="shared" si="2"/>
        <v>36636042.199999996</v>
      </c>
      <c r="J22" s="177">
        <f t="shared" si="3"/>
        <v>172693</v>
      </c>
      <c r="K22" s="177">
        <f t="shared" si="4"/>
        <v>36808735.199999996</v>
      </c>
      <c r="L22" s="177">
        <f t="shared" si="5"/>
        <v>364443.19999999553</v>
      </c>
      <c r="M22" s="178">
        <f t="shared" si="6"/>
        <v>1.0000007682958844E-2</v>
      </c>
      <c r="N22" s="179">
        <f t="shared" si="7"/>
        <v>-65.100000000000364</v>
      </c>
      <c r="O22" s="180">
        <f t="shared" si="8"/>
        <v>-1.4358182620202992E-2</v>
      </c>
    </row>
    <row r="23" spans="1:15" x14ac:dyDescent="0.55000000000000004">
      <c r="A23" s="198" t="s">
        <v>16</v>
      </c>
      <c r="B23" s="181">
        <f>INDEX(Data[FY2026 Budget Enrollment],MATCH(A23,Data[Label],0))</f>
        <v>1202.2</v>
      </c>
      <c r="C23" s="182">
        <f>INDEX(Data[FY26 RPDC Per Student],MATCH(A23,Data[Label],0))</f>
        <v>7988</v>
      </c>
      <c r="D23" s="182">
        <f>INDEX(Data[FY2026 RPDC Total],MATCH(A23,Data[Label],0))</f>
        <v>9603174</v>
      </c>
      <c r="E23" s="182">
        <f>INDEX(Data[FY2026 RPDC Budget Guarantee],MATCH(A23,Data[Label],0))</f>
        <v>330900</v>
      </c>
      <c r="F23" s="194">
        <f t="shared" si="0"/>
        <v>9934074</v>
      </c>
      <c r="G23" s="181">
        <f>INDEX(Data[FY2027 Budget Enrollment],MATCH(A23,Data[Label],0))</f>
        <v>1199.7</v>
      </c>
      <c r="H23" s="182">
        <f t="shared" si="1"/>
        <v>8148</v>
      </c>
      <c r="I23" s="182">
        <f t="shared" si="2"/>
        <v>9775155.5999999996</v>
      </c>
      <c r="J23" s="182">
        <f t="shared" si="3"/>
        <v>0</v>
      </c>
      <c r="K23" s="182">
        <f t="shared" si="4"/>
        <v>9775155.5999999996</v>
      </c>
      <c r="L23" s="182">
        <f t="shared" si="5"/>
        <v>-158918.40000000037</v>
      </c>
      <c r="M23" s="183">
        <f t="shared" si="6"/>
        <v>-1.5997303825198039E-2</v>
      </c>
      <c r="N23" s="184">
        <f t="shared" si="7"/>
        <v>-2.5</v>
      </c>
      <c r="O23" s="185">
        <f t="shared" si="8"/>
        <v>-2.0795208783896189E-3</v>
      </c>
    </row>
    <row r="24" spans="1:15" x14ac:dyDescent="0.55000000000000004">
      <c r="A24" s="197" t="s">
        <v>17</v>
      </c>
      <c r="B24" s="176">
        <f>INDEX(Data[FY2026 Budget Enrollment],MATCH(A24,Data[Label],0))</f>
        <v>217.3</v>
      </c>
      <c r="C24" s="177">
        <f>INDEX(Data[FY26 RPDC Per Student],MATCH(A24,Data[Label],0))</f>
        <v>8013</v>
      </c>
      <c r="D24" s="177">
        <f>INDEX(Data[FY2026 RPDC Total],MATCH(A24,Data[Label],0))</f>
        <v>1741225</v>
      </c>
      <c r="E24" s="177">
        <f>INDEX(Data[FY2026 RPDC Budget Guarantee],MATCH(A24,Data[Label],0))</f>
        <v>20247</v>
      </c>
      <c r="F24" s="193">
        <f t="shared" si="0"/>
        <v>1761472</v>
      </c>
      <c r="G24" s="176">
        <f>INDEX(Data[FY2027 Budget Enrollment],MATCH(A24,Data[Label],0))</f>
        <v>219</v>
      </c>
      <c r="H24" s="177">
        <f t="shared" si="1"/>
        <v>8173</v>
      </c>
      <c r="I24" s="177">
        <f t="shared" si="2"/>
        <v>1789887</v>
      </c>
      <c r="J24" s="177">
        <f t="shared" si="3"/>
        <v>0</v>
      </c>
      <c r="K24" s="177">
        <f t="shared" si="4"/>
        <v>1789887</v>
      </c>
      <c r="L24" s="177">
        <f t="shared" si="5"/>
        <v>28415</v>
      </c>
      <c r="M24" s="178">
        <f t="shared" si="6"/>
        <v>1.6131394651745814E-2</v>
      </c>
      <c r="N24" s="179">
        <f t="shared" si="7"/>
        <v>1.6999999999999886</v>
      </c>
      <c r="O24" s="180">
        <f t="shared" si="8"/>
        <v>7.8232857800275592E-3</v>
      </c>
    </row>
    <row r="25" spans="1:15" x14ac:dyDescent="0.55000000000000004">
      <c r="A25" s="198" t="s">
        <v>18</v>
      </c>
      <c r="B25" s="181">
        <f>INDEX(Data[FY2026 Budget Enrollment],MATCH(A25,Data[Label],0))</f>
        <v>12753.8</v>
      </c>
      <c r="C25" s="182">
        <f>INDEX(Data[FY26 RPDC Per Student],MATCH(A25,Data[Label],0))</f>
        <v>7988</v>
      </c>
      <c r="D25" s="182">
        <f>INDEX(Data[FY2026 RPDC Total],MATCH(A25,Data[Label],0))</f>
        <v>101877354</v>
      </c>
      <c r="E25" s="182">
        <f>INDEX(Data[FY2026 RPDC Budget Guarantee],MATCH(A25,Data[Label],0))</f>
        <v>0</v>
      </c>
      <c r="F25" s="194">
        <f t="shared" si="0"/>
        <v>101877354</v>
      </c>
      <c r="G25" s="181">
        <f>INDEX(Data[FY2027 Budget Enrollment],MATCH(A25,Data[Label],0))</f>
        <v>12682</v>
      </c>
      <c r="H25" s="182">
        <f t="shared" si="1"/>
        <v>8148</v>
      </c>
      <c r="I25" s="182">
        <f t="shared" si="2"/>
        <v>103332936</v>
      </c>
      <c r="J25" s="182">
        <f t="shared" si="3"/>
        <v>0</v>
      </c>
      <c r="K25" s="182">
        <f t="shared" si="4"/>
        <v>103332936</v>
      </c>
      <c r="L25" s="182">
        <f t="shared" si="5"/>
        <v>1455582</v>
      </c>
      <c r="M25" s="183">
        <f t="shared" si="6"/>
        <v>1.4287591332613526E-2</v>
      </c>
      <c r="N25" s="184">
        <f t="shared" si="7"/>
        <v>-71.799999999999272</v>
      </c>
      <c r="O25" s="185">
        <f t="shared" si="8"/>
        <v>-5.6296946792327995E-3</v>
      </c>
    </row>
    <row r="26" spans="1:15" x14ac:dyDescent="0.55000000000000004">
      <c r="A26" s="197" t="s">
        <v>19</v>
      </c>
      <c r="B26" s="176">
        <f>INDEX(Data[FY2026 Budget Enrollment],MATCH(A26,Data[Label],0))</f>
        <v>794.2</v>
      </c>
      <c r="C26" s="177">
        <f>INDEX(Data[FY26 RPDC Per Student],MATCH(A26,Data[Label],0))</f>
        <v>7988</v>
      </c>
      <c r="D26" s="177">
        <f>INDEX(Data[FY2026 RPDC Total],MATCH(A26,Data[Label],0))</f>
        <v>6344070</v>
      </c>
      <c r="E26" s="177">
        <f>INDEX(Data[FY2026 RPDC Budget Guarantee],MATCH(A26,Data[Label],0))</f>
        <v>0</v>
      </c>
      <c r="F26" s="193">
        <f t="shared" si="0"/>
        <v>6344070</v>
      </c>
      <c r="G26" s="176">
        <f>INDEX(Data[FY2027 Budget Enrollment],MATCH(A26,Data[Label],0))</f>
        <v>775</v>
      </c>
      <c r="H26" s="177">
        <f t="shared" si="1"/>
        <v>8148</v>
      </c>
      <c r="I26" s="177">
        <f t="shared" si="2"/>
        <v>6314700</v>
      </c>
      <c r="J26" s="177">
        <f t="shared" si="3"/>
        <v>92811</v>
      </c>
      <c r="K26" s="177">
        <f t="shared" si="4"/>
        <v>6407511</v>
      </c>
      <c r="L26" s="177">
        <f t="shared" si="5"/>
        <v>63441</v>
      </c>
      <c r="M26" s="178">
        <f t="shared" si="6"/>
        <v>1.0000047288255017E-2</v>
      </c>
      <c r="N26" s="179">
        <f t="shared" si="7"/>
        <v>-19.200000000000045</v>
      </c>
      <c r="O26" s="180">
        <f t="shared" si="8"/>
        <v>-2.4175270712666889E-2</v>
      </c>
    </row>
    <row r="27" spans="1:15" x14ac:dyDescent="0.55000000000000004">
      <c r="A27" s="198" t="s">
        <v>20</v>
      </c>
      <c r="B27" s="181">
        <f>INDEX(Data[FY2026 Budget Enrollment],MATCH(A27,Data[Label],0))</f>
        <v>281.7</v>
      </c>
      <c r="C27" s="182">
        <f>INDEX(Data[FY26 RPDC Per Student],MATCH(A27,Data[Label],0))</f>
        <v>7988</v>
      </c>
      <c r="D27" s="182">
        <f>INDEX(Data[FY2026 RPDC Total],MATCH(A27,Data[Label],0))</f>
        <v>2250220</v>
      </c>
      <c r="E27" s="182">
        <f>INDEX(Data[FY2026 RPDC Budget Guarantee],MATCH(A27,Data[Label],0))</f>
        <v>63357</v>
      </c>
      <c r="F27" s="194">
        <f t="shared" si="0"/>
        <v>2313577</v>
      </c>
      <c r="G27" s="181">
        <f>INDEX(Data[FY2027 Budget Enrollment],MATCH(A27,Data[Label],0))</f>
        <v>267.60000000000002</v>
      </c>
      <c r="H27" s="182">
        <f t="shared" si="1"/>
        <v>8148</v>
      </c>
      <c r="I27" s="182">
        <f t="shared" si="2"/>
        <v>2180404.8000000003</v>
      </c>
      <c r="J27" s="182">
        <f t="shared" si="3"/>
        <v>92317</v>
      </c>
      <c r="K27" s="182">
        <f t="shared" si="4"/>
        <v>2272721.8000000003</v>
      </c>
      <c r="L27" s="182">
        <f t="shared" si="5"/>
        <v>-40855.199999999721</v>
      </c>
      <c r="M27" s="183">
        <f t="shared" si="6"/>
        <v>-1.7658889243798551E-2</v>
      </c>
      <c r="N27" s="184">
        <f t="shared" si="7"/>
        <v>-14.099999999999966</v>
      </c>
      <c r="O27" s="185">
        <f t="shared" si="8"/>
        <v>-5.0053248136315107E-2</v>
      </c>
    </row>
    <row r="28" spans="1:15" x14ac:dyDescent="0.55000000000000004">
      <c r="A28" s="197" t="s">
        <v>21</v>
      </c>
      <c r="B28" s="176">
        <f>INDEX(Data[FY2026 Budget Enrollment],MATCH(A28,Data[Label],0))</f>
        <v>1452.3</v>
      </c>
      <c r="C28" s="177">
        <f>INDEX(Data[FY26 RPDC Per Student],MATCH(A28,Data[Label],0))</f>
        <v>7988</v>
      </c>
      <c r="D28" s="177">
        <f>INDEX(Data[FY2026 RPDC Total],MATCH(A28,Data[Label],0))</f>
        <v>11600972</v>
      </c>
      <c r="E28" s="177">
        <f>INDEX(Data[FY2026 RPDC Budget Guarantee],MATCH(A28,Data[Label],0))</f>
        <v>0</v>
      </c>
      <c r="F28" s="193">
        <f t="shared" si="0"/>
        <v>11600972</v>
      </c>
      <c r="G28" s="176">
        <f>INDEX(Data[FY2027 Budget Enrollment],MATCH(A28,Data[Label],0))</f>
        <v>1375.2</v>
      </c>
      <c r="H28" s="177">
        <f t="shared" si="1"/>
        <v>8148</v>
      </c>
      <c r="I28" s="177">
        <f t="shared" si="2"/>
        <v>11205129.6</v>
      </c>
      <c r="J28" s="177">
        <f t="shared" si="3"/>
        <v>511852</v>
      </c>
      <c r="K28" s="177">
        <f t="shared" si="4"/>
        <v>11716981.6</v>
      </c>
      <c r="L28" s="177">
        <f t="shared" si="5"/>
        <v>116009.59999999963</v>
      </c>
      <c r="M28" s="178">
        <f t="shared" si="6"/>
        <v>9.9999896560391335E-3</v>
      </c>
      <c r="N28" s="179">
        <f t="shared" si="7"/>
        <v>-77.099999999999909</v>
      </c>
      <c r="O28" s="180">
        <f t="shared" si="8"/>
        <v>-5.3088204916339539E-2</v>
      </c>
    </row>
    <row r="29" spans="1:15" x14ac:dyDescent="0.55000000000000004">
      <c r="A29" s="198" t="s">
        <v>22</v>
      </c>
      <c r="B29" s="181">
        <f>INDEX(Data[FY2026 Budget Enrollment],MATCH(A29,Data[Label],0))</f>
        <v>494.5</v>
      </c>
      <c r="C29" s="182">
        <f>INDEX(Data[FY26 RPDC Per Student],MATCH(A29,Data[Label],0))</f>
        <v>8027</v>
      </c>
      <c r="D29" s="182">
        <f>INDEX(Data[FY2026 RPDC Total],MATCH(A29,Data[Label],0))</f>
        <v>3969352</v>
      </c>
      <c r="E29" s="182">
        <f>INDEX(Data[FY2026 RPDC Budget Guarantee],MATCH(A29,Data[Label],0))</f>
        <v>88459</v>
      </c>
      <c r="F29" s="194">
        <f t="shared" si="0"/>
        <v>4057811</v>
      </c>
      <c r="G29" s="181">
        <f>INDEX(Data[FY2027 Budget Enrollment],MATCH(A29,Data[Label],0))</f>
        <v>521.1</v>
      </c>
      <c r="H29" s="182">
        <f t="shared" si="1"/>
        <v>8187</v>
      </c>
      <c r="I29" s="182">
        <f t="shared" si="2"/>
        <v>4266245.7</v>
      </c>
      <c r="J29" s="182">
        <f t="shared" si="3"/>
        <v>0</v>
      </c>
      <c r="K29" s="182">
        <f t="shared" si="4"/>
        <v>4266245.7</v>
      </c>
      <c r="L29" s="182">
        <f t="shared" si="5"/>
        <v>208434.70000000019</v>
      </c>
      <c r="M29" s="183">
        <f t="shared" si="6"/>
        <v>5.1366290840061349E-2</v>
      </c>
      <c r="N29" s="184">
        <f t="shared" si="7"/>
        <v>26.600000000000023</v>
      </c>
      <c r="O29" s="185">
        <f t="shared" si="8"/>
        <v>5.3791708796764454E-2</v>
      </c>
    </row>
    <row r="30" spans="1:15" x14ac:dyDescent="0.55000000000000004">
      <c r="A30" s="197" t="s">
        <v>23</v>
      </c>
      <c r="B30" s="176">
        <f>INDEX(Data[FY2026 Budget Enrollment],MATCH(A30,Data[Label],0))</f>
        <v>443</v>
      </c>
      <c r="C30" s="177">
        <f>INDEX(Data[FY26 RPDC Per Student],MATCH(A30,Data[Label],0))</f>
        <v>8029</v>
      </c>
      <c r="D30" s="177">
        <f>INDEX(Data[FY2026 RPDC Total],MATCH(A30,Data[Label],0))</f>
        <v>3556847</v>
      </c>
      <c r="E30" s="177">
        <f>INDEX(Data[FY2026 RPDC Budget Guarantee],MATCH(A30,Data[Label],0))</f>
        <v>0</v>
      </c>
      <c r="F30" s="193">
        <f t="shared" si="0"/>
        <v>3556847</v>
      </c>
      <c r="G30" s="176">
        <f>INDEX(Data[FY2027 Budget Enrollment],MATCH(A30,Data[Label],0))</f>
        <v>431.1</v>
      </c>
      <c r="H30" s="177">
        <f t="shared" si="1"/>
        <v>8189</v>
      </c>
      <c r="I30" s="177">
        <f t="shared" si="2"/>
        <v>3530277.9000000004</v>
      </c>
      <c r="J30" s="177">
        <f t="shared" si="3"/>
        <v>62138</v>
      </c>
      <c r="K30" s="177">
        <f t="shared" si="4"/>
        <v>3592415.9000000004</v>
      </c>
      <c r="L30" s="177">
        <f t="shared" si="5"/>
        <v>35568.900000000373</v>
      </c>
      <c r="M30" s="178">
        <f t="shared" si="6"/>
        <v>1.0000120893589287E-2</v>
      </c>
      <c r="N30" s="179">
        <f t="shared" si="7"/>
        <v>-11.899999999999977</v>
      </c>
      <c r="O30" s="180">
        <f t="shared" si="8"/>
        <v>-2.6862302483069925E-2</v>
      </c>
    </row>
    <row r="31" spans="1:15" x14ac:dyDescent="0.55000000000000004">
      <c r="A31" s="198" t="s">
        <v>24</v>
      </c>
      <c r="B31" s="181">
        <f>INDEX(Data[FY2026 Budget Enrollment],MATCH(A31,Data[Label],0))</f>
        <v>1767.4</v>
      </c>
      <c r="C31" s="182">
        <f>INDEX(Data[FY26 RPDC Per Student],MATCH(A31,Data[Label],0))</f>
        <v>7988</v>
      </c>
      <c r="D31" s="182">
        <f>INDEX(Data[FY2026 RPDC Total],MATCH(A31,Data[Label],0))</f>
        <v>14117991</v>
      </c>
      <c r="E31" s="182">
        <f>INDEX(Data[FY2026 RPDC Budget Guarantee],MATCH(A31,Data[Label],0))</f>
        <v>0</v>
      </c>
      <c r="F31" s="194">
        <f t="shared" si="0"/>
        <v>14117991</v>
      </c>
      <c r="G31" s="181">
        <f>INDEX(Data[FY2027 Budget Enrollment],MATCH(A31,Data[Label],0))</f>
        <v>1767.7</v>
      </c>
      <c r="H31" s="182">
        <f t="shared" si="1"/>
        <v>8148</v>
      </c>
      <c r="I31" s="182">
        <f t="shared" si="2"/>
        <v>14403219.6</v>
      </c>
      <c r="J31" s="182">
        <f t="shared" si="3"/>
        <v>0</v>
      </c>
      <c r="K31" s="182">
        <f t="shared" si="4"/>
        <v>14403219.6</v>
      </c>
      <c r="L31" s="182">
        <f t="shared" si="5"/>
        <v>285228.59999999963</v>
      </c>
      <c r="M31" s="183">
        <f t="shared" si="6"/>
        <v>2.0203200299532677E-2</v>
      </c>
      <c r="N31" s="184">
        <f t="shared" si="7"/>
        <v>0.29999999999995453</v>
      </c>
      <c r="O31" s="185">
        <f t="shared" si="8"/>
        <v>1.6974086228355466E-4</v>
      </c>
    </row>
    <row r="32" spans="1:15" x14ac:dyDescent="0.55000000000000004">
      <c r="A32" s="197" t="s">
        <v>25</v>
      </c>
      <c r="B32" s="176">
        <f>INDEX(Data[FY2026 Budget Enrollment],MATCH(A32,Data[Label],0))</f>
        <v>341.1</v>
      </c>
      <c r="C32" s="177">
        <f>INDEX(Data[FY26 RPDC Per Student],MATCH(A32,Data[Label],0))</f>
        <v>7988</v>
      </c>
      <c r="D32" s="177">
        <f>INDEX(Data[FY2026 RPDC Total],MATCH(A32,Data[Label],0))</f>
        <v>2724707</v>
      </c>
      <c r="E32" s="177">
        <f>INDEX(Data[FY2026 RPDC Budget Guarantee],MATCH(A32,Data[Label],0))</f>
        <v>0</v>
      </c>
      <c r="F32" s="193">
        <f t="shared" si="0"/>
        <v>2724707</v>
      </c>
      <c r="G32" s="176">
        <f>INDEX(Data[FY2027 Budget Enrollment],MATCH(A32,Data[Label],0))</f>
        <v>347.1</v>
      </c>
      <c r="H32" s="177">
        <f t="shared" si="1"/>
        <v>8148</v>
      </c>
      <c r="I32" s="177">
        <f t="shared" si="2"/>
        <v>2828170.8000000003</v>
      </c>
      <c r="J32" s="177">
        <f t="shared" si="3"/>
        <v>0</v>
      </c>
      <c r="K32" s="177">
        <f t="shared" si="4"/>
        <v>2828170.8000000003</v>
      </c>
      <c r="L32" s="177">
        <f t="shared" si="5"/>
        <v>103463.80000000028</v>
      </c>
      <c r="M32" s="178">
        <f t="shared" si="6"/>
        <v>3.7972449881767206E-2</v>
      </c>
      <c r="N32" s="179">
        <f t="shared" si="7"/>
        <v>6</v>
      </c>
      <c r="O32" s="180">
        <f t="shared" si="8"/>
        <v>1.7590149516270887E-2</v>
      </c>
    </row>
    <row r="33" spans="1:15" x14ac:dyDescent="0.55000000000000004">
      <c r="A33" s="198" t="s">
        <v>26</v>
      </c>
      <c r="B33" s="181">
        <f>INDEX(Data[FY2026 Budget Enrollment],MATCH(A33,Data[Label],0))</f>
        <v>498.5</v>
      </c>
      <c r="C33" s="182">
        <f>INDEX(Data[FY26 RPDC Per Student],MATCH(A33,Data[Label],0))</f>
        <v>7988</v>
      </c>
      <c r="D33" s="182">
        <f>INDEX(Data[FY2026 RPDC Total],MATCH(A33,Data[Label],0))</f>
        <v>3982018</v>
      </c>
      <c r="E33" s="182">
        <f>INDEX(Data[FY2026 RPDC Budget Guarantee],MATCH(A33,Data[Label],0))</f>
        <v>57059</v>
      </c>
      <c r="F33" s="194">
        <f t="shared" si="0"/>
        <v>4039077</v>
      </c>
      <c r="G33" s="181">
        <f>INDEX(Data[FY2027 Budget Enrollment],MATCH(A33,Data[Label],0))</f>
        <v>511.3</v>
      </c>
      <c r="H33" s="182">
        <f t="shared" si="1"/>
        <v>8148</v>
      </c>
      <c r="I33" s="182">
        <f t="shared" si="2"/>
        <v>4166072.4</v>
      </c>
      <c r="J33" s="182">
        <f t="shared" si="3"/>
        <v>0</v>
      </c>
      <c r="K33" s="182">
        <f t="shared" si="4"/>
        <v>4166072.4</v>
      </c>
      <c r="L33" s="182">
        <f t="shared" si="5"/>
        <v>126995.39999999991</v>
      </c>
      <c r="M33" s="183">
        <f t="shared" si="6"/>
        <v>3.1441688286705086E-2</v>
      </c>
      <c r="N33" s="184">
        <f t="shared" si="7"/>
        <v>12.800000000000011</v>
      </c>
      <c r="O33" s="185">
        <f t="shared" si="8"/>
        <v>2.5677031093279862E-2</v>
      </c>
    </row>
    <row r="34" spans="1:15" x14ac:dyDescent="0.55000000000000004">
      <c r="A34" s="197" t="s">
        <v>27</v>
      </c>
      <c r="B34" s="176">
        <f>INDEX(Data[FY2026 Budget Enrollment],MATCH(A34,Data[Label],0))</f>
        <v>466.6</v>
      </c>
      <c r="C34" s="177">
        <f>INDEX(Data[FY26 RPDC Per Student],MATCH(A34,Data[Label],0))</f>
        <v>7988</v>
      </c>
      <c r="D34" s="177">
        <f>INDEX(Data[FY2026 RPDC Total],MATCH(A34,Data[Label],0))</f>
        <v>3727201</v>
      </c>
      <c r="E34" s="177">
        <f>INDEX(Data[FY2026 RPDC Budget Guarantee],MATCH(A34,Data[Label],0))</f>
        <v>19418</v>
      </c>
      <c r="F34" s="193">
        <f t="shared" si="0"/>
        <v>3746619</v>
      </c>
      <c r="G34" s="176">
        <f>INDEX(Data[FY2027 Budget Enrollment],MATCH(A34,Data[Label],0))</f>
        <v>462.3</v>
      </c>
      <c r="H34" s="177">
        <f t="shared" si="1"/>
        <v>8148</v>
      </c>
      <c r="I34" s="177">
        <f t="shared" si="2"/>
        <v>3766820.4</v>
      </c>
      <c r="J34" s="177">
        <f t="shared" si="3"/>
        <v>0</v>
      </c>
      <c r="K34" s="177">
        <f t="shared" si="4"/>
        <v>3766820.4</v>
      </c>
      <c r="L34" s="177">
        <f t="shared" si="5"/>
        <v>20201.399999999907</v>
      </c>
      <c r="M34" s="178">
        <f t="shared" si="6"/>
        <v>5.3919013382465386E-3</v>
      </c>
      <c r="N34" s="179">
        <f t="shared" si="7"/>
        <v>-4.3000000000000114</v>
      </c>
      <c r="O34" s="180">
        <f t="shared" si="8"/>
        <v>-9.2156022288898652E-3</v>
      </c>
    </row>
    <row r="35" spans="1:15" x14ac:dyDescent="0.55000000000000004">
      <c r="A35" s="198" t="s">
        <v>28</v>
      </c>
      <c r="B35" s="181">
        <f>INDEX(Data[FY2026 Budget Enrollment],MATCH(A35,Data[Label],0))</f>
        <v>603.70000000000005</v>
      </c>
      <c r="C35" s="182">
        <f>INDEX(Data[FY26 RPDC Per Student],MATCH(A35,Data[Label],0))</f>
        <v>8005</v>
      </c>
      <c r="D35" s="182">
        <f>INDEX(Data[FY2026 RPDC Total],MATCH(A35,Data[Label],0))</f>
        <v>4832619</v>
      </c>
      <c r="E35" s="182">
        <f>INDEX(Data[FY2026 RPDC Budget Guarantee],MATCH(A35,Data[Label],0))</f>
        <v>92103</v>
      </c>
      <c r="F35" s="194">
        <f t="shared" si="0"/>
        <v>4924722</v>
      </c>
      <c r="G35" s="181">
        <f>INDEX(Data[FY2027 Budget Enrollment],MATCH(A35,Data[Label],0))</f>
        <v>611.20000000000005</v>
      </c>
      <c r="H35" s="182">
        <f t="shared" si="1"/>
        <v>8165</v>
      </c>
      <c r="I35" s="182">
        <f t="shared" si="2"/>
        <v>4990448</v>
      </c>
      <c r="J35" s="182">
        <f t="shared" si="3"/>
        <v>0</v>
      </c>
      <c r="K35" s="182">
        <f t="shared" si="4"/>
        <v>4990448</v>
      </c>
      <c r="L35" s="182">
        <f t="shared" si="5"/>
        <v>65726</v>
      </c>
      <c r="M35" s="183">
        <f t="shared" si="6"/>
        <v>1.3346134055891886E-2</v>
      </c>
      <c r="N35" s="184">
        <f t="shared" si="7"/>
        <v>7.5</v>
      </c>
      <c r="O35" s="185">
        <f t="shared" si="8"/>
        <v>1.2423389100546628E-2</v>
      </c>
    </row>
    <row r="36" spans="1:15" x14ac:dyDescent="0.55000000000000004">
      <c r="A36" s="197" t="s">
        <v>29</v>
      </c>
      <c r="B36" s="176">
        <f>INDEX(Data[FY2026 Budget Enrollment],MATCH(A36,Data[Label],0))</f>
        <v>705.4</v>
      </c>
      <c r="C36" s="177">
        <f>INDEX(Data[FY26 RPDC Per Student],MATCH(A36,Data[Label],0))</f>
        <v>7988</v>
      </c>
      <c r="D36" s="177">
        <f>INDEX(Data[FY2026 RPDC Total],MATCH(A36,Data[Label],0))</f>
        <v>5634735</v>
      </c>
      <c r="E36" s="177">
        <f>INDEX(Data[FY2026 RPDC Budget Guarantee],MATCH(A36,Data[Label],0))</f>
        <v>270538</v>
      </c>
      <c r="F36" s="193">
        <f t="shared" si="0"/>
        <v>5905273</v>
      </c>
      <c r="G36" s="176">
        <f>INDEX(Data[FY2027 Budget Enrollment],MATCH(A36,Data[Label],0))</f>
        <v>713.6</v>
      </c>
      <c r="H36" s="177">
        <f t="shared" si="1"/>
        <v>8148</v>
      </c>
      <c r="I36" s="177">
        <f t="shared" si="2"/>
        <v>5814412.7999999998</v>
      </c>
      <c r="J36" s="177">
        <f t="shared" si="3"/>
        <v>0</v>
      </c>
      <c r="K36" s="177">
        <f t="shared" si="4"/>
        <v>5814412.7999999998</v>
      </c>
      <c r="L36" s="177">
        <f t="shared" si="5"/>
        <v>-90860.200000000186</v>
      </c>
      <c r="M36" s="178">
        <f t="shared" si="6"/>
        <v>-1.5386282734092089E-2</v>
      </c>
      <c r="N36" s="179">
        <f t="shared" si="7"/>
        <v>8.2000000000000455</v>
      </c>
      <c r="O36" s="180">
        <f t="shared" si="8"/>
        <v>1.1624610150269415E-2</v>
      </c>
    </row>
    <row r="37" spans="1:15" x14ac:dyDescent="0.55000000000000004">
      <c r="A37" s="198" t="s">
        <v>30</v>
      </c>
      <c r="B37" s="181">
        <f>INDEX(Data[FY2026 Budget Enrollment],MATCH(A37,Data[Label],0))</f>
        <v>165.1</v>
      </c>
      <c r="C37" s="182">
        <f>INDEX(Data[FY26 RPDC Per Student],MATCH(A37,Data[Label],0))</f>
        <v>8079</v>
      </c>
      <c r="D37" s="182">
        <f>INDEX(Data[FY2026 RPDC Total],MATCH(A37,Data[Label],0))</f>
        <v>1333843</v>
      </c>
      <c r="E37" s="182">
        <f>INDEX(Data[FY2026 RPDC Budget Guarantee],MATCH(A37,Data[Label],0))</f>
        <v>0</v>
      </c>
      <c r="F37" s="194">
        <f t="shared" si="0"/>
        <v>1333843</v>
      </c>
      <c r="G37" s="181">
        <f>INDEX(Data[FY2027 Budget Enrollment],MATCH(A37,Data[Label],0))</f>
        <v>155.4</v>
      </c>
      <c r="H37" s="182">
        <f t="shared" si="1"/>
        <v>8239</v>
      </c>
      <c r="I37" s="182">
        <f t="shared" si="2"/>
        <v>1280340.6000000001</v>
      </c>
      <c r="J37" s="182">
        <f t="shared" si="3"/>
        <v>66841</v>
      </c>
      <c r="K37" s="182">
        <f t="shared" si="4"/>
        <v>1347181.6</v>
      </c>
      <c r="L37" s="182">
        <f t="shared" si="5"/>
        <v>13338.600000000093</v>
      </c>
      <c r="M37" s="183">
        <f t="shared" si="6"/>
        <v>1.0000127451281817E-2</v>
      </c>
      <c r="N37" s="184">
        <f t="shared" si="7"/>
        <v>-9.6999999999999886</v>
      </c>
      <c r="O37" s="185">
        <f t="shared" si="8"/>
        <v>-5.8752271350696481E-2</v>
      </c>
    </row>
    <row r="38" spans="1:15" x14ac:dyDescent="0.55000000000000004">
      <c r="A38" s="197" t="s">
        <v>31</v>
      </c>
      <c r="B38" s="176">
        <f>INDEX(Data[FY2026 Budget Enrollment],MATCH(A38,Data[Label],0))</f>
        <v>1475.6</v>
      </c>
      <c r="C38" s="177">
        <f>INDEX(Data[FY26 RPDC Per Student],MATCH(A38,Data[Label],0))</f>
        <v>8013</v>
      </c>
      <c r="D38" s="177">
        <f>INDEX(Data[FY2026 RPDC Total],MATCH(A38,Data[Label],0))</f>
        <v>11823983</v>
      </c>
      <c r="E38" s="177">
        <f>INDEX(Data[FY2026 RPDC Budget Guarantee],MATCH(A38,Data[Label],0))</f>
        <v>0</v>
      </c>
      <c r="F38" s="193">
        <f t="shared" si="0"/>
        <v>11823983</v>
      </c>
      <c r="G38" s="176">
        <f>INDEX(Data[FY2027 Budget Enrollment],MATCH(A38,Data[Label],0))</f>
        <v>1426.1</v>
      </c>
      <c r="H38" s="177">
        <f t="shared" si="1"/>
        <v>8173</v>
      </c>
      <c r="I38" s="177">
        <f t="shared" si="2"/>
        <v>11655515.299999999</v>
      </c>
      <c r="J38" s="177">
        <f t="shared" si="3"/>
        <v>286708</v>
      </c>
      <c r="K38" s="177">
        <f t="shared" si="4"/>
        <v>11942223.299999999</v>
      </c>
      <c r="L38" s="177">
        <f t="shared" si="5"/>
        <v>118240.29999999888</v>
      </c>
      <c r="M38" s="178">
        <f t="shared" si="6"/>
        <v>1.0000039749718762E-2</v>
      </c>
      <c r="N38" s="179">
        <f t="shared" si="7"/>
        <v>-49.5</v>
      </c>
      <c r="O38" s="180">
        <f t="shared" si="8"/>
        <v>-3.3545676335050151E-2</v>
      </c>
    </row>
    <row r="39" spans="1:15" x14ac:dyDescent="0.55000000000000004">
      <c r="A39" s="198" t="s">
        <v>32</v>
      </c>
      <c r="B39" s="181">
        <f>INDEX(Data[FY2026 Budget Enrollment],MATCH(A39,Data[Label],0))</f>
        <v>3825.6</v>
      </c>
      <c r="C39" s="182">
        <f>INDEX(Data[FY26 RPDC Per Student],MATCH(A39,Data[Label],0))</f>
        <v>8022</v>
      </c>
      <c r="D39" s="182">
        <f>INDEX(Data[FY2026 RPDC Total],MATCH(A39,Data[Label],0))</f>
        <v>30688963</v>
      </c>
      <c r="E39" s="182">
        <f>INDEX(Data[FY2026 RPDC Budget Guarantee],MATCH(A39,Data[Label],0))</f>
        <v>708314</v>
      </c>
      <c r="F39" s="194">
        <f t="shared" si="0"/>
        <v>31397277</v>
      </c>
      <c r="G39" s="181">
        <f>INDEX(Data[FY2027 Budget Enrollment],MATCH(A39,Data[Label],0))</f>
        <v>3776.9</v>
      </c>
      <c r="H39" s="182">
        <f t="shared" si="1"/>
        <v>8182</v>
      </c>
      <c r="I39" s="182">
        <f t="shared" si="2"/>
        <v>30902595.800000001</v>
      </c>
      <c r="J39" s="182">
        <f t="shared" si="3"/>
        <v>93257</v>
      </c>
      <c r="K39" s="182">
        <f t="shared" si="4"/>
        <v>30995852.800000001</v>
      </c>
      <c r="L39" s="182">
        <f t="shared" si="5"/>
        <v>-401424.19999999925</v>
      </c>
      <c r="M39" s="183">
        <f t="shared" si="6"/>
        <v>-1.2785318930683041E-2</v>
      </c>
      <c r="N39" s="184">
        <f t="shared" si="7"/>
        <v>-48.699999999999818</v>
      </c>
      <c r="O39" s="185">
        <f t="shared" si="8"/>
        <v>-1.2730029276453319E-2</v>
      </c>
    </row>
    <row r="40" spans="1:15" x14ac:dyDescent="0.55000000000000004">
      <c r="A40" s="197" t="s">
        <v>33</v>
      </c>
      <c r="B40" s="176">
        <f>INDEX(Data[FY2026 Budget Enrollment],MATCH(A40,Data[Label],0))</f>
        <v>2662.4</v>
      </c>
      <c r="C40" s="177">
        <f>INDEX(Data[FY26 RPDC Per Student],MATCH(A40,Data[Label],0))</f>
        <v>7988</v>
      </c>
      <c r="D40" s="177">
        <f>INDEX(Data[FY2026 RPDC Total],MATCH(A40,Data[Label],0))</f>
        <v>21267251</v>
      </c>
      <c r="E40" s="177">
        <f>INDEX(Data[FY2026 RPDC Budget Guarantee],MATCH(A40,Data[Label],0))</f>
        <v>0</v>
      </c>
      <c r="F40" s="193">
        <f t="shared" si="0"/>
        <v>21267251</v>
      </c>
      <c r="G40" s="176">
        <f>INDEX(Data[FY2027 Budget Enrollment],MATCH(A40,Data[Label],0))</f>
        <v>2636.4</v>
      </c>
      <c r="H40" s="177">
        <f t="shared" si="1"/>
        <v>8148</v>
      </c>
      <c r="I40" s="177">
        <f t="shared" si="2"/>
        <v>21481387.199999999</v>
      </c>
      <c r="J40" s="177">
        <f t="shared" si="3"/>
        <v>0</v>
      </c>
      <c r="K40" s="177">
        <f t="shared" si="4"/>
        <v>21481387.199999999</v>
      </c>
      <c r="L40" s="177">
        <f t="shared" si="5"/>
        <v>214136.19999999925</v>
      </c>
      <c r="M40" s="178">
        <f t="shared" si="6"/>
        <v>1.0068823657556835E-2</v>
      </c>
      <c r="N40" s="179">
        <f t="shared" si="7"/>
        <v>-26</v>
      </c>
      <c r="O40" s="180">
        <f t="shared" si="8"/>
        <v>-9.765625E-3</v>
      </c>
    </row>
    <row r="41" spans="1:15" x14ac:dyDescent="0.55000000000000004">
      <c r="A41" s="198" t="s">
        <v>34</v>
      </c>
      <c r="B41" s="181">
        <f>INDEX(Data[FY2026 Budget Enrollment],MATCH(A41,Data[Label],0))</f>
        <v>1984</v>
      </c>
      <c r="C41" s="182">
        <f>INDEX(Data[FY26 RPDC Per Student],MATCH(A41,Data[Label],0))</f>
        <v>7988</v>
      </c>
      <c r="D41" s="182">
        <f>INDEX(Data[FY2026 RPDC Total],MATCH(A41,Data[Label],0))</f>
        <v>15848192</v>
      </c>
      <c r="E41" s="182">
        <f>INDEX(Data[FY2026 RPDC Budget Guarantee],MATCH(A41,Data[Label],0))</f>
        <v>0</v>
      </c>
      <c r="F41" s="194">
        <f t="shared" si="0"/>
        <v>15848192</v>
      </c>
      <c r="G41" s="181">
        <f>INDEX(Data[FY2027 Budget Enrollment],MATCH(A41,Data[Label],0))</f>
        <v>1999.6</v>
      </c>
      <c r="H41" s="182">
        <f t="shared" si="1"/>
        <v>8148</v>
      </c>
      <c r="I41" s="182">
        <f t="shared" si="2"/>
        <v>16292740.799999999</v>
      </c>
      <c r="J41" s="182">
        <f t="shared" si="3"/>
        <v>0</v>
      </c>
      <c r="K41" s="182">
        <f t="shared" si="4"/>
        <v>16292740.799999999</v>
      </c>
      <c r="L41" s="182">
        <f t="shared" si="5"/>
        <v>444548.79999999888</v>
      </c>
      <c r="M41" s="183">
        <f t="shared" si="6"/>
        <v>2.8050442599382875E-2</v>
      </c>
      <c r="N41" s="184">
        <f t="shared" si="7"/>
        <v>15.599999999999909</v>
      </c>
      <c r="O41" s="185">
        <f t="shared" si="8"/>
        <v>7.8629032258064058E-3</v>
      </c>
    </row>
    <row r="42" spans="1:15" x14ac:dyDescent="0.55000000000000004">
      <c r="A42" s="197" t="s">
        <v>35</v>
      </c>
      <c r="B42" s="176">
        <f>INDEX(Data[FY2026 Budget Enrollment],MATCH(A42,Data[Label],0))</f>
        <v>546.70000000000005</v>
      </c>
      <c r="C42" s="177">
        <f>INDEX(Data[FY26 RPDC Per Student],MATCH(A42,Data[Label],0))</f>
        <v>7988</v>
      </c>
      <c r="D42" s="177">
        <f>INDEX(Data[FY2026 RPDC Total],MATCH(A42,Data[Label],0))</f>
        <v>4367040</v>
      </c>
      <c r="E42" s="177">
        <f>INDEX(Data[FY2026 RPDC Budget Guarantee],MATCH(A42,Data[Label],0))</f>
        <v>87801</v>
      </c>
      <c r="F42" s="193">
        <f t="shared" si="0"/>
        <v>4454841</v>
      </c>
      <c r="G42" s="176">
        <f>INDEX(Data[FY2027 Budget Enrollment],MATCH(A42,Data[Label],0))</f>
        <v>531.20000000000005</v>
      </c>
      <c r="H42" s="177">
        <f t="shared" si="1"/>
        <v>8148</v>
      </c>
      <c r="I42" s="177">
        <f t="shared" si="2"/>
        <v>4328217.6000000006</v>
      </c>
      <c r="J42" s="177">
        <f t="shared" si="3"/>
        <v>82493</v>
      </c>
      <c r="K42" s="177">
        <f t="shared" si="4"/>
        <v>4410710.6000000006</v>
      </c>
      <c r="L42" s="177">
        <f t="shared" si="5"/>
        <v>-44130.399999999441</v>
      </c>
      <c r="M42" s="178">
        <f t="shared" si="6"/>
        <v>-9.9061672459240281E-3</v>
      </c>
      <c r="N42" s="179">
        <f t="shared" si="7"/>
        <v>-15.5</v>
      </c>
      <c r="O42" s="180">
        <f t="shared" si="8"/>
        <v>-2.8351929760380461E-2</v>
      </c>
    </row>
    <row r="43" spans="1:15" x14ac:dyDescent="0.55000000000000004">
      <c r="A43" s="198" t="s">
        <v>36</v>
      </c>
      <c r="B43" s="181">
        <f>INDEX(Data[FY2026 Budget Enrollment],MATCH(A43,Data[Label],0))</f>
        <v>387.2</v>
      </c>
      <c r="C43" s="182">
        <f>INDEX(Data[FY26 RPDC Per Student],MATCH(A43,Data[Label],0))</f>
        <v>7988</v>
      </c>
      <c r="D43" s="182">
        <f>INDEX(Data[FY2026 RPDC Total],MATCH(A43,Data[Label],0))</f>
        <v>3092954</v>
      </c>
      <c r="E43" s="182">
        <f>INDEX(Data[FY2026 RPDC Budget Guarantee],MATCH(A43,Data[Label],0))</f>
        <v>0</v>
      </c>
      <c r="F43" s="194">
        <f t="shared" si="0"/>
        <v>3092954</v>
      </c>
      <c r="G43" s="181">
        <f>INDEX(Data[FY2027 Budget Enrollment],MATCH(A43,Data[Label],0))</f>
        <v>395.3</v>
      </c>
      <c r="H43" s="182">
        <f t="shared" si="1"/>
        <v>8148</v>
      </c>
      <c r="I43" s="182">
        <f t="shared" si="2"/>
        <v>3220904.4</v>
      </c>
      <c r="J43" s="182">
        <f t="shared" si="3"/>
        <v>0</v>
      </c>
      <c r="K43" s="182">
        <f t="shared" si="4"/>
        <v>3220904.4</v>
      </c>
      <c r="L43" s="182">
        <f t="shared" si="5"/>
        <v>127950.39999999991</v>
      </c>
      <c r="M43" s="183">
        <f t="shared" si="6"/>
        <v>4.1368348834156569E-2</v>
      </c>
      <c r="N43" s="184">
        <f t="shared" si="7"/>
        <v>8.1000000000000227</v>
      </c>
      <c r="O43" s="185">
        <f t="shared" si="8"/>
        <v>2.0919421487603364E-2</v>
      </c>
    </row>
    <row r="44" spans="1:15" x14ac:dyDescent="0.55000000000000004">
      <c r="A44" s="197" t="s">
        <v>37</v>
      </c>
      <c r="B44" s="176">
        <f>INDEX(Data[FY2026 Budget Enrollment],MATCH(A44,Data[Label],0))</f>
        <v>518.4</v>
      </c>
      <c r="C44" s="177">
        <f>INDEX(Data[FY26 RPDC Per Student],MATCH(A44,Data[Label],0))</f>
        <v>7988</v>
      </c>
      <c r="D44" s="177">
        <f>INDEX(Data[FY2026 RPDC Total],MATCH(A44,Data[Label],0))</f>
        <v>4140979</v>
      </c>
      <c r="E44" s="177">
        <f>INDEX(Data[FY2026 RPDC Budget Guarantee],MATCH(A44,Data[Label],0))</f>
        <v>0</v>
      </c>
      <c r="F44" s="193">
        <f t="shared" si="0"/>
        <v>4140979</v>
      </c>
      <c r="G44" s="176">
        <f>INDEX(Data[FY2027 Budget Enrollment],MATCH(A44,Data[Label],0))</f>
        <v>490</v>
      </c>
      <c r="H44" s="177">
        <f t="shared" si="1"/>
        <v>8148</v>
      </c>
      <c r="I44" s="177">
        <f t="shared" si="2"/>
        <v>3992520</v>
      </c>
      <c r="J44" s="177">
        <f t="shared" si="3"/>
        <v>189869</v>
      </c>
      <c r="K44" s="177">
        <f t="shared" si="4"/>
        <v>4182389</v>
      </c>
      <c r="L44" s="177">
        <f t="shared" si="5"/>
        <v>41410</v>
      </c>
      <c r="M44" s="178">
        <f t="shared" si="6"/>
        <v>1.0000050712645488E-2</v>
      </c>
      <c r="N44" s="179">
        <f t="shared" si="7"/>
        <v>-28.399999999999977</v>
      </c>
      <c r="O44" s="180">
        <f t="shared" si="8"/>
        <v>-5.4783950617283909E-2</v>
      </c>
    </row>
    <row r="45" spans="1:15" x14ac:dyDescent="0.55000000000000004">
      <c r="A45" s="198" t="s">
        <v>38</v>
      </c>
      <c r="B45" s="181">
        <f>INDEX(Data[FY2026 Budget Enrollment],MATCH(A45,Data[Label],0))</f>
        <v>3673.1</v>
      </c>
      <c r="C45" s="182">
        <f>INDEX(Data[FY26 RPDC Per Student],MATCH(A45,Data[Label],0))</f>
        <v>7988</v>
      </c>
      <c r="D45" s="182">
        <f>INDEX(Data[FY2026 RPDC Total],MATCH(A45,Data[Label],0))</f>
        <v>29340723</v>
      </c>
      <c r="E45" s="182">
        <f>INDEX(Data[FY2026 RPDC Budget Guarantee],MATCH(A45,Data[Label],0))</f>
        <v>668591</v>
      </c>
      <c r="F45" s="194">
        <f t="shared" si="0"/>
        <v>30009314</v>
      </c>
      <c r="G45" s="181">
        <f>INDEX(Data[FY2027 Budget Enrollment],MATCH(A45,Data[Label],0))</f>
        <v>3560.2</v>
      </c>
      <c r="H45" s="182">
        <f t="shared" si="1"/>
        <v>8148</v>
      </c>
      <c r="I45" s="182">
        <f t="shared" si="2"/>
        <v>29008509.599999998</v>
      </c>
      <c r="J45" s="182">
        <f t="shared" si="3"/>
        <v>625621</v>
      </c>
      <c r="K45" s="182">
        <f t="shared" si="4"/>
        <v>29634130.599999998</v>
      </c>
      <c r="L45" s="182">
        <f t="shared" si="5"/>
        <v>-375183.40000000224</v>
      </c>
      <c r="M45" s="183">
        <f t="shared" si="6"/>
        <v>-1.2502231807098365E-2</v>
      </c>
      <c r="N45" s="184">
        <f t="shared" si="7"/>
        <v>-112.90000000000009</v>
      </c>
      <c r="O45" s="185">
        <f t="shared" si="8"/>
        <v>-3.0736979662955022E-2</v>
      </c>
    </row>
    <row r="46" spans="1:15" x14ac:dyDescent="0.55000000000000004">
      <c r="A46" s="197" t="s">
        <v>39</v>
      </c>
      <c r="B46" s="176">
        <f>INDEX(Data[FY2026 Budget Enrollment],MATCH(A46,Data[Label],0))</f>
        <v>277.10000000000002</v>
      </c>
      <c r="C46" s="177">
        <f>INDEX(Data[FY26 RPDC Per Student],MATCH(A46,Data[Label],0))</f>
        <v>8118</v>
      </c>
      <c r="D46" s="177">
        <f>INDEX(Data[FY2026 RPDC Total],MATCH(A46,Data[Label],0))</f>
        <v>2249498</v>
      </c>
      <c r="E46" s="177">
        <f>INDEX(Data[FY2026 RPDC Budget Guarantee],MATCH(A46,Data[Label],0))</f>
        <v>41272</v>
      </c>
      <c r="F46" s="193">
        <f t="shared" si="0"/>
        <v>2290770</v>
      </c>
      <c r="G46" s="176">
        <f>INDEX(Data[FY2027 Budget Enrollment],MATCH(A46,Data[Label],0))</f>
        <v>270.89999999999998</v>
      </c>
      <c r="H46" s="177">
        <f t="shared" si="1"/>
        <v>8278</v>
      </c>
      <c r="I46" s="177">
        <f t="shared" si="2"/>
        <v>2242510.1999999997</v>
      </c>
      <c r="J46" s="177">
        <f t="shared" si="3"/>
        <v>29483</v>
      </c>
      <c r="K46" s="177">
        <f t="shared" si="4"/>
        <v>2271993.1999999997</v>
      </c>
      <c r="L46" s="177">
        <f t="shared" si="5"/>
        <v>-18776.800000000279</v>
      </c>
      <c r="M46" s="178">
        <f t="shared" si="6"/>
        <v>-8.1967198802150708E-3</v>
      </c>
      <c r="N46" s="179">
        <f t="shared" si="7"/>
        <v>-6.2000000000000455</v>
      </c>
      <c r="O46" s="180">
        <f t="shared" si="8"/>
        <v>-2.2374594009383058E-2</v>
      </c>
    </row>
    <row r="47" spans="1:15" x14ac:dyDescent="0.55000000000000004">
      <c r="A47" s="198" t="s">
        <v>40</v>
      </c>
      <c r="B47" s="181">
        <f>INDEX(Data[FY2026 Budget Enrollment],MATCH(A47,Data[Label],0))</f>
        <v>419.4</v>
      </c>
      <c r="C47" s="182">
        <f>INDEX(Data[FY26 RPDC Per Student],MATCH(A47,Data[Label],0))</f>
        <v>7998</v>
      </c>
      <c r="D47" s="182">
        <f>INDEX(Data[FY2026 RPDC Total],MATCH(A47,Data[Label],0))</f>
        <v>3354361</v>
      </c>
      <c r="E47" s="182">
        <f>INDEX(Data[FY2026 RPDC Budget Guarantee],MATCH(A47,Data[Label],0))</f>
        <v>190367</v>
      </c>
      <c r="F47" s="194">
        <f t="shared" si="0"/>
        <v>3544728</v>
      </c>
      <c r="G47" s="181">
        <f>INDEX(Data[FY2027 Budget Enrollment],MATCH(A47,Data[Label],0))</f>
        <v>395.7</v>
      </c>
      <c r="H47" s="182">
        <f t="shared" si="1"/>
        <v>8158</v>
      </c>
      <c r="I47" s="182">
        <f t="shared" si="2"/>
        <v>3228120.6</v>
      </c>
      <c r="J47" s="182">
        <f t="shared" si="3"/>
        <v>159784</v>
      </c>
      <c r="K47" s="182">
        <f t="shared" si="4"/>
        <v>3387904.6</v>
      </c>
      <c r="L47" s="182">
        <f t="shared" si="5"/>
        <v>-156823.39999999991</v>
      </c>
      <c r="M47" s="183">
        <f t="shared" si="6"/>
        <v>-4.4241307090417063E-2</v>
      </c>
      <c r="N47" s="184">
        <f t="shared" si="7"/>
        <v>-23.699999999999989</v>
      </c>
      <c r="O47" s="185">
        <f t="shared" si="8"/>
        <v>-5.6509298998569359E-2</v>
      </c>
    </row>
    <row r="48" spans="1:15" x14ac:dyDescent="0.55000000000000004">
      <c r="A48" s="197" t="s">
        <v>41</v>
      </c>
      <c r="B48" s="176">
        <f>INDEX(Data[FY2026 Budget Enrollment],MATCH(A48,Data[Label],0))</f>
        <v>350.6</v>
      </c>
      <c r="C48" s="177">
        <f>INDEX(Data[FY26 RPDC Per Student],MATCH(A48,Data[Label],0))</f>
        <v>8007</v>
      </c>
      <c r="D48" s="177">
        <f>INDEX(Data[FY2026 RPDC Total],MATCH(A48,Data[Label],0))</f>
        <v>2807254</v>
      </c>
      <c r="E48" s="177">
        <f>INDEX(Data[FY2026 RPDC Budget Guarantee],MATCH(A48,Data[Label],0))</f>
        <v>65242</v>
      </c>
      <c r="F48" s="193">
        <f t="shared" si="0"/>
        <v>2872496</v>
      </c>
      <c r="G48" s="176">
        <f>INDEX(Data[FY2027 Budget Enrollment],MATCH(A48,Data[Label],0))</f>
        <v>375</v>
      </c>
      <c r="H48" s="177">
        <f t="shared" si="1"/>
        <v>8167</v>
      </c>
      <c r="I48" s="177">
        <f t="shared" si="2"/>
        <v>3062625</v>
      </c>
      <c r="J48" s="177">
        <f t="shared" si="3"/>
        <v>0</v>
      </c>
      <c r="K48" s="177">
        <f t="shared" si="4"/>
        <v>3062625</v>
      </c>
      <c r="L48" s="177">
        <f t="shared" si="5"/>
        <v>190129</v>
      </c>
      <c r="M48" s="178">
        <f t="shared" si="6"/>
        <v>6.6189474241217391E-2</v>
      </c>
      <c r="N48" s="179">
        <f t="shared" si="7"/>
        <v>24.399999999999977</v>
      </c>
      <c r="O48" s="180">
        <f t="shared" si="8"/>
        <v>6.9594980034226969E-2</v>
      </c>
    </row>
    <row r="49" spans="1:15" x14ac:dyDescent="0.55000000000000004">
      <c r="A49" s="198" t="s">
        <v>42</v>
      </c>
      <c r="B49" s="181">
        <f>INDEX(Data[FY2026 Budget Enrollment],MATCH(A49,Data[Label],0))</f>
        <v>808.3</v>
      </c>
      <c r="C49" s="182">
        <f>INDEX(Data[FY26 RPDC Per Student],MATCH(A49,Data[Label],0))</f>
        <v>7988</v>
      </c>
      <c r="D49" s="182">
        <f>INDEX(Data[FY2026 RPDC Total],MATCH(A49,Data[Label],0))</f>
        <v>6456700</v>
      </c>
      <c r="E49" s="182">
        <f>INDEX(Data[FY2026 RPDC Budget Guarantee],MATCH(A49,Data[Label],0))</f>
        <v>42973</v>
      </c>
      <c r="F49" s="194">
        <f t="shared" si="0"/>
        <v>6499673</v>
      </c>
      <c r="G49" s="181">
        <f>INDEX(Data[FY2027 Budget Enrollment],MATCH(A49,Data[Label],0))</f>
        <v>746.4</v>
      </c>
      <c r="H49" s="182">
        <f t="shared" si="1"/>
        <v>8148</v>
      </c>
      <c r="I49" s="182">
        <f t="shared" si="2"/>
        <v>6081667.2000000002</v>
      </c>
      <c r="J49" s="182">
        <f t="shared" si="3"/>
        <v>439600</v>
      </c>
      <c r="K49" s="182">
        <f t="shared" si="4"/>
        <v>6521267.2000000002</v>
      </c>
      <c r="L49" s="182">
        <f t="shared" si="5"/>
        <v>21594.200000000186</v>
      </c>
      <c r="M49" s="183">
        <f t="shared" si="6"/>
        <v>3.3223517552344842E-3</v>
      </c>
      <c r="N49" s="184">
        <f t="shared" si="7"/>
        <v>-61.899999999999977</v>
      </c>
      <c r="O49" s="185">
        <f t="shared" si="8"/>
        <v>-7.6580477545465764E-2</v>
      </c>
    </row>
    <row r="50" spans="1:15" x14ac:dyDescent="0.55000000000000004">
      <c r="A50" s="197" t="s">
        <v>43</v>
      </c>
      <c r="B50" s="176">
        <f>INDEX(Data[FY2026 Budget Enrollment],MATCH(A50,Data[Label],0))</f>
        <v>546.70000000000005</v>
      </c>
      <c r="C50" s="177">
        <f>INDEX(Data[FY26 RPDC Per Student],MATCH(A50,Data[Label],0))</f>
        <v>7988</v>
      </c>
      <c r="D50" s="177">
        <f>INDEX(Data[FY2026 RPDC Total],MATCH(A50,Data[Label],0))</f>
        <v>4367040</v>
      </c>
      <c r="E50" s="177">
        <f>INDEX(Data[FY2026 RPDC Budget Guarantee],MATCH(A50,Data[Label],0))</f>
        <v>0</v>
      </c>
      <c r="F50" s="193">
        <f t="shared" si="0"/>
        <v>4367040</v>
      </c>
      <c r="G50" s="176">
        <f>INDEX(Data[FY2027 Budget Enrollment],MATCH(A50,Data[Label],0))</f>
        <v>536.9</v>
      </c>
      <c r="H50" s="177">
        <f t="shared" si="1"/>
        <v>8148</v>
      </c>
      <c r="I50" s="177">
        <f t="shared" si="2"/>
        <v>4374661.2</v>
      </c>
      <c r="J50" s="177">
        <f t="shared" si="3"/>
        <v>36049</v>
      </c>
      <c r="K50" s="177">
        <f t="shared" si="4"/>
        <v>4410710.2</v>
      </c>
      <c r="L50" s="177">
        <f t="shared" si="5"/>
        <v>43670.200000000186</v>
      </c>
      <c r="M50" s="178">
        <f t="shared" si="6"/>
        <v>9.9999542023888454E-3</v>
      </c>
      <c r="N50" s="179">
        <f t="shared" si="7"/>
        <v>-9.8000000000000682</v>
      </c>
      <c r="O50" s="180">
        <f t="shared" si="8"/>
        <v>-1.7925736235595513E-2</v>
      </c>
    </row>
    <row r="51" spans="1:15" x14ac:dyDescent="0.55000000000000004">
      <c r="A51" s="198" t="s">
        <v>44</v>
      </c>
      <c r="B51" s="181">
        <f>INDEX(Data[FY2026 Budget Enrollment],MATCH(A51,Data[Label],0))</f>
        <v>1927.2</v>
      </c>
      <c r="C51" s="182">
        <f>INDEX(Data[FY26 RPDC Per Student],MATCH(A51,Data[Label],0))</f>
        <v>7988</v>
      </c>
      <c r="D51" s="182">
        <f>INDEX(Data[FY2026 RPDC Total],MATCH(A51,Data[Label],0))</f>
        <v>15394474</v>
      </c>
      <c r="E51" s="182">
        <f>INDEX(Data[FY2026 RPDC Budget Guarantee],MATCH(A51,Data[Label],0))</f>
        <v>293901</v>
      </c>
      <c r="F51" s="194">
        <f t="shared" si="0"/>
        <v>15688375</v>
      </c>
      <c r="G51" s="181">
        <f>INDEX(Data[FY2027 Budget Enrollment],MATCH(A51,Data[Label],0))</f>
        <v>1883.8</v>
      </c>
      <c r="H51" s="182">
        <f t="shared" si="1"/>
        <v>8148</v>
      </c>
      <c r="I51" s="182">
        <f t="shared" si="2"/>
        <v>15349202.4</v>
      </c>
      <c r="J51" s="182">
        <f t="shared" si="3"/>
        <v>199216</v>
      </c>
      <c r="K51" s="182">
        <f t="shared" si="4"/>
        <v>15548418.4</v>
      </c>
      <c r="L51" s="182">
        <f t="shared" si="5"/>
        <v>-139956.59999999963</v>
      </c>
      <c r="M51" s="183">
        <f t="shared" si="6"/>
        <v>-8.9210386671659519E-3</v>
      </c>
      <c r="N51" s="184">
        <f t="shared" si="7"/>
        <v>-43.400000000000091</v>
      </c>
      <c r="O51" s="185">
        <f t="shared" si="8"/>
        <v>-2.2519717725197223E-2</v>
      </c>
    </row>
    <row r="52" spans="1:15" x14ac:dyDescent="0.55000000000000004">
      <c r="A52" s="197" t="s">
        <v>45</v>
      </c>
      <c r="B52" s="176">
        <f>INDEX(Data[FY2026 Budget Enrollment],MATCH(A52,Data[Label],0))</f>
        <v>1549.1</v>
      </c>
      <c r="C52" s="177">
        <f>INDEX(Data[FY26 RPDC Per Student],MATCH(A52,Data[Label],0))</f>
        <v>7988</v>
      </c>
      <c r="D52" s="177">
        <f>INDEX(Data[FY2026 RPDC Total],MATCH(A52,Data[Label],0))</f>
        <v>12374211</v>
      </c>
      <c r="E52" s="177">
        <f>INDEX(Data[FY2026 RPDC Budget Guarantee],MATCH(A52,Data[Label],0))</f>
        <v>380893</v>
      </c>
      <c r="F52" s="193">
        <f t="shared" si="0"/>
        <v>12755104</v>
      </c>
      <c r="G52" s="176">
        <f>INDEX(Data[FY2027 Budget Enrollment],MATCH(A52,Data[Label],0))</f>
        <v>1464.7</v>
      </c>
      <c r="H52" s="177">
        <f t="shared" si="1"/>
        <v>8148</v>
      </c>
      <c r="I52" s="177">
        <f t="shared" si="2"/>
        <v>11934375.6</v>
      </c>
      <c r="J52" s="177">
        <f t="shared" si="3"/>
        <v>563578</v>
      </c>
      <c r="K52" s="177">
        <f t="shared" si="4"/>
        <v>12497953.6</v>
      </c>
      <c r="L52" s="177">
        <f t="shared" si="5"/>
        <v>-257150.40000000037</v>
      </c>
      <c r="M52" s="178">
        <f t="shared" si="6"/>
        <v>-2.0160588263333671E-2</v>
      </c>
      <c r="N52" s="179">
        <f t="shared" si="7"/>
        <v>-84.399999999999864</v>
      </c>
      <c r="O52" s="180">
        <f t="shared" si="8"/>
        <v>-5.4483248337744414E-2</v>
      </c>
    </row>
    <row r="53" spans="1:15" x14ac:dyDescent="0.55000000000000004">
      <c r="A53" s="198" t="s">
        <v>46</v>
      </c>
      <c r="B53" s="181">
        <f>INDEX(Data[FY2026 Budget Enrollment],MATCH(A53,Data[Label],0))</f>
        <v>5464.8</v>
      </c>
      <c r="C53" s="182">
        <f>INDEX(Data[FY26 RPDC Per Student],MATCH(A53,Data[Label],0))</f>
        <v>7988</v>
      </c>
      <c r="D53" s="182">
        <f>INDEX(Data[FY2026 RPDC Total],MATCH(A53,Data[Label],0))</f>
        <v>43652822</v>
      </c>
      <c r="E53" s="182">
        <f>INDEX(Data[FY2026 RPDC Budget Guarantee],MATCH(A53,Data[Label],0))</f>
        <v>19795</v>
      </c>
      <c r="F53" s="194">
        <f t="shared" si="0"/>
        <v>43672617</v>
      </c>
      <c r="G53" s="181">
        <f>INDEX(Data[FY2027 Budget Enrollment],MATCH(A53,Data[Label],0))</f>
        <v>5395.1</v>
      </c>
      <c r="H53" s="182">
        <f t="shared" si="1"/>
        <v>8148</v>
      </c>
      <c r="I53" s="182">
        <f t="shared" si="2"/>
        <v>43959274.800000004</v>
      </c>
      <c r="J53" s="182">
        <f t="shared" si="3"/>
        <v>130075</v>
      </c>
      <c r="K53" s="182">
        <f t="shared" si="4"/>
        <v>44089349.800000004</v>
      </c>
      <c r="L53" s="182">
        <f t="shared" si="5"/>
        <v>416732.80000000447</v>
      </c>
      <c r="M53" s="183">
        <f t="shared" si="6"/>
        <v>9.5421989481419087E-3</v>
      </c>
      <c r="N53" s="184">
        <f t="shared" si="7"/>
        <v>-69.699999999999818</v>
      </c>
      <c r="O53" s="185">
        <f t="shared" si="8"/>
        <v>-1.275435514565946E-2</v>
      </c>
    </row>
    <row r="54" spans="1:15" x14ac:dyDescent="0.55000000000000004">
      <c r="A54" s="197" t="s">
        <v>47</v>
      </c>
      <c r="B54" s="176">
        <f>INDEX(Data[FY2026 Budget Enrollment],MATCH(A54,Data[Label],0))</f>
        <v>16120.7</v>
      </c>
      <c r="C54" s="177">
        <f>INDEX(Data[FY26 RPDC Per Student],MATCH(A54,Data[Label],0))</f>
        <v>7988</v>
      </c>
      <c r="D54" s="177">
        <f>INDEX(Data[FY2026 RPDC Total],MATCH(A54,Data[Label],0))</f>
        <v>128772152</v>
      </c>
      <c r="E54" s="177">
        <f>INDEX(Data[FY2026 RPDC Budget Guarantee],MATCH(A54,Data[Label],0))</f>
        <v>0</v>
      </c>
      <c r="F54" s="193">
        <f t="shared" si="0"/>
        <v>128772152</v>
      </c>
      <c r="G54" s="176">
        <f>INDEX(Data[FY2027 Budget Enrollment],MATCH(A54,Data[Label],0))</f>
        <v>15901.2</v>
      </c>
      <c r="H54" s="177">
        <f t="shared" si="1"/>
        <v>8148</v>
      </c>
      <c r="I54" s="177">
        <f t="shared" si="2"/>
        <v>129562977.60000001</v>
      </c>
      <c r="J54" s="177">
        <f t="shared" si="3"/>
        <v>496896</v>
      </c>
      <c r="K54" s="177">
        <f t="shared" si="4"/>
        <v>130059873.60000001</v>
      </c>
      <c r="L54" s="177">
        <f t="shared" si="5"/>
        <v>1287721.6000000089</v>
      </c>
      <c r="M54" s="178">
        <f t="shared" si="6"/>
        <v>1.0000000621252404E-2</v>
      </c>
      <c r="N54" s="179">
        <f t="shared" si="7"/>
        <v>-219.5</v>
      </c>
      <c r="O54" s="180">
        <f t="shared" si="8"/>
        <v>-1.361603404318671E-2</v>
      </c>
    </row>
    <row r="55" spans="1:15" x14ac:dyDescent="0.55000000000000004">
      <c r="A55" s="198" t="s">
        <v>48</v>
      </c>
      <c r="B55" s="181">
        <f>INDEX(Data[FY2026 Budget Enrollment],MATCH(A55,Data[Label],0))</f>
        <v>1131.2</v>
      </c>
      <c r="C55" s="182">
        <f>INDEX(Data[FY26 RPDC Per Student],MATCH(A55,Data[Label],0))</f>
        <v>7988</v>
      </c>
      <c r="D55" s="182">
        <f>INDEX(Data[FY2026 RPDC Total],MATCH(A55,Data[Label],0))</f>
        <v>9036026</v>
      </c>
      <c r="E55" s="182">
        <f>INDEX(Data[FY2026 RPDC Budget Guarantee],MATCH(A55,Data[Label],0))</f>
        <v>245156</v>
      </c>
      <c r="F55" s="194">
        <f t="shared" si="0"/>
        <v>9281182</v>
      </c>
      <c r="G55" s="181">
        <f>INDEX(Data[FY2027 Budget Enrollment],MATCH(A55,Data[Label],0))</f>
        <v>1080.0999999999999</v>
      </c>
      <c r="H55" s="182">
        <f t="shared" si="1"/>
        <v>8148</v>
      </c>
      <c r="I55" s="182">
        <f t="shared" si="2"/>
        <v>8800654.7999999989</v>
      </c>
      <c r="J55" s="182">
        <f t="shared" si="3"/>
        <v>325731</v>
      </c>
      <c r="K55" s="182">
        <f t="shared" si="4"/>
        <v>9126385.7999999989</v>
      </c>
      <c r="L55" s="182">
        <f t="shared" si="5"/>
        <v>-154796.20000000112</v>
      </c>
      <c r="M55" s="183">
        <f t="shared" si="6"/>
        <v>-1.6678500647870187E-2</v>
      </c>
      <c r="N55" s="184">
        <f t="shared" si="7"/>
        <v>-51.100000000000136</v>
      </c>
      <c r="O55" s="185">
        <f t="shared" si="8"/>
        <v>-4.517326732673279E-2</v>
      </c>
    </row>
    <row r="56" spans="1:15" x14ac:dyDescent="0.55000000000000004">
      <c r="A56" s="197" t="s">
        <v>49</v>
      </c>
      <c r="B56" s="176">
        <f>INDEX(Data[FY2026 Budget Enrollment],MATCH(A56,Data[Label],0))</f>
        <v>1264.0999999999999</v>
      </c>
      <c r="C56" s="177">
        <f>INDEX(Data[FY26 RPDC Per Student],MATCH(A56,Data[Label],0))</f>
        <v>8007</v>
      </c>
      <c r="D56" s="177">
        <f>INDEX(Data[FY2026 RPDC Total],MATCH(A56,Data[Label],0))</f>
        <v>10121649</v>
      </c>
      <c r="E56" s="177">
        <f>INDEX(Data[FY2026 RPDC Budget Guarantee],MATCH(A56,Data[Label],0))</f>
        <v>427220</v>
      </c>
      <c r="F56" s="193">
        <f t="shared" si="0"/>
        <v>10548869</v>
      </c>
      <c r="G56" s="176">
        <f>INDEX(Data[FY2027 Budget Enrollment],MATCH(A56,Data[Label],0))</f>
        <v>1206.0999999999999</v>
      </c>
      <c r="H56" s="177">
        <f t="shared" si="1"/>
        <v>8167</v>
      </c>
      <c r="I56" s="177">
        <f t="shared" si="2"/>
        <v>9850218.6999999993</v>
      </c>
      <c r="J56" s="177">
        <f t="shared" si="3"/>
        <v>372647</v>
      </c>
      <c r="K56" s="177">
        <f t="shared" si="4"/>
        <v>10222865.699999999</v>
      </c>
      <c r="L56" s="177">
        <f t="shared" si="5"/>
        <v>-326003.30000000075</v>
      </c>
      <c r="M56" s="178">
        <f t="shared" si="6"/>
        <v>-3.0904099766524803E-2</v>
      </c>
      <c r="N56" s="179">
        <f t="shared" si="7"/>
        <v>-58</v>
      </c>
      <c r="O56" s="180">
        <f t="shared" si="8"/>
        <v>-4.588244600901828E-2</v>
      </c>
    </row>
    <row r="57" spans="1:15" x14ac:dyDescent="0.55000000000000004">
      <c r="A57" s="198" t="s">
        <v>50</v>
      </c>
      <c r="B57" s="181">
        <f>INDEX(Data[FY2026 Budget Enrollment],MATCH(A57,Data[Label],0))</f>
        <v>411.3</v>
      </c>
      <c r="C57" s="182">
        <f>INDEX(Data[FY26 RPDC Per Student],MATCH(A57,Data[Label],0))</f>
        <v>8009</v>
      </c>
      <c r="D57" s="182">
        <f>INDEX(Data[FY2026 RPDC Total],MATCH(A57,Data[Label],0))</f>
        <v>3294102</v>
      </c>
      <c r="E57" s="182">
        <f>INDEX(Data[FY2026 RPDC Budget Guarantee],MATCH(A57,Data[Label],0))</f>
        <v>43854</v>
      </c>
      <c r="F57" s="194">
        <f t="shared" si="0"/>
        <v>3337956</v>
      </c>
      <c r="G57" s="181">
        <f>INDEX(Data[FY2027 Budget Enrollment],MATCH(A57,Data[Label],0))</f>
        <v>390.6</v>
      </c>
      <c r="H57" s="182">
        <f t="shared" si="1"/>
        <v>8169</v>
      </c>
      <c r="I57" s="182">
        <f t="shared" si="2"/>
        <v>3190811.4000000004</v>
      </c>
      <c r="J57" s="182">
        <f t="shared" si="3"/>
        <v>136232</v>
      </c>
      <c r="K57" s="182">
        <f t="shared" si="4"/>
        <v>3327043.4000000004</v>
      </c>
      <c r="L57" s="182">
        <f t="shared" si="5"/>
        <v>-10912.599999999627</v>
      </c>
      <c r="M57" s="183">
        <f t="shared" si="6"/>
        <v>-3.2692462093567524E-3</v>
      </c>
      <c r="N57" s="184">
        <f t="shared" si="7"/>
        <v>-20.699999999999989</v>
      </c>
      <c r="O57" s="185">
        <f t="shared" si="8"/>
        <v>-5.0328227571115942E-2</v>
      </c>
    </row>
    <row r="58" spans="1:15" x14ac:dyDescent="0.55000000000000004">
      <c r="A58" s="197" t="s">
        <v>51</v>
      </c>
      <c r="B58" s="176">
        <f>INDEX(Data[FY2026 Budget Enrollment],MATCH(A58,Data[Label],0))</f>
        <v>456.1</v>
      </c>
      <c r="C58" s="177">
        <f>INDEX(Data[FY26 RPDC Per Student],MATCH(A58,Data[Label],0))</f>
        <v>7988</v>
      </c>
      <c r="D58" s="177">
        <f>INDEX(Data[FY2026 RPDC Total],MATCH(A58,Data[Label],0))</f>
        <v>3643327</v>
      </c>
      <c r="E58" s="177">
        <f>INDEX(Data[FY2026 RPDC Budget Guarantee],MATCH(A58,Data[Label],0))</f>
        <v>50334</v>
      </c>
      <c r="F58" s="193">
        <f t="shared" si="0"/>
        <v>3693661</v>
      </c>
      <c r="G58" s="176">
        <f>INDEX(Data[FY2027 Budget Enrollment],MATCH(A58,Data[Label],0))</f>
        <v>452.3</v>
      </c>
      <c r="H58" s="177">
        <f t="shared" si="1"/>
        <v>8148</v>
      </c>
      <c r="I58" s="177">
        <f t="shared" si="2"/>
        <v>3685340.4</v>
      </c>
      <c r="J58" s="177">
        <f t="shared" si="3"/>
        <v>0</v>
      </c>
      <c r="K58" s="177">
        <f t="shared" si="4"/>
        <v>3685340.4</v>
      </c>
      <c r="L58" s="177">
        <f t="shared" si="5"/>
        <v>-8320.6000000000931</v>
      </c>
      <c r="M58" s="178">
        <f t="shared" si="6"/>
        <v>-2.2526701827807406E-3</v>
      </c>
      <c r="N58" s="179">
        <f t="shared" si="7"/>
        <v>-3.8000000000000114</v>
      </c>
      <c r="O58" s="180">
        <f t="shared" si="8"/>
        <v>-8.3315062486297112E-3</v>
      </c>
    </row>
    <row r="59" spans="1:15" x14ac:dyDescent="0.55000000000000004">
      <c r="A59" s="198" t="s">
        <v>52</v>
      </c>
      <c r="B59" s="181">
        <f>INDEX(Data[FY2026 Budget Enrollment],MATCH(A59,Data[Label],0))</f>
        <v>1460.4</v>
      </c>
      <c r="C59" s="182">
        <f>INDEX(Data[FY26 RPDC Per Student],MATCH(A59,Data[Label],0))</f>
        <v>7988</v>
      </c>
      <c r="D59" s="182">
        <f>INDEX(Data[FY2026 RPDC Total],MATCH(A59,Data[Label],0))</f>
        <v>11665675</v>
      </c>
      <c r="E59" s="182">
        <f>INDEX(Data[FY2026 RPDC Budget Guarantee],MATCH(A59,Data[Label],0))</f>
        <v>0</v>
      </c>
      <c r="F59" s="194">
        <f t="shared" si="0"/>
        <v>11665675</v>
      </c>
      <c r="G59" s="181">
        <f>INDEX(Data[FY2027 Budget Enrollment],MATCH(A59,Data[Label],0))</f>
        <v>1448.3</v>
      </c>
      <c r="H59" s="182">
        <f t="shared" si="1"/>
        <v>8148</v>
      </c>
      <c r="I59" s="182">
        <f t="shared" si="2"/>
        <v>11800748.4</v>
      </c>
      <c r="J59" s="182">
        <f t="shared" si="3"/>
        <v>0</v>
      </c>
      <c r="K59" s="182">
        <f t="shared" si="4"/>
        <v>11800748.4</v>
      </c>
      <c r="L59" s="182">
        <f t="shared" si="5"/>
        <v>135073.40000000037</v>
      </c>
      <c r="M59" s="183">
        <f t="shared" si="6"/>
        <v>1.1578704189856169E-2</v>
      </c>
      <c r="N59" s="184">
        <f t="shared" si="7"/>
        <v>-12.100000000000136</v>
      </c>
      <c r="O59" s="185">
        <f t="shared" si="8"/>
        <v>-8.28540125992888E-3</v>
      </c>
    </row>
    <row r="60" spans="1:15" x14ac:dyDescent="0.55000000000000004">
      <c r="A60" s="197" t="s">
        <v>53</v>
      </c>
      <c r="B60" s="176">
        <f>INDEX(Data[FY2026 Budget Enrollment],MATCH(A60,Data[Label],0))</f>
        <v>601.5</v>
      </c>
      <c r="C60" s="177">
        <f>INDEX(Data[FY26 RPDC Per Student],MATCH(A60,Data[Label],0))</f>
        <v>7988</v>
      </c>
      <c r="D60" s="177">
        <f>INDEX(Data[FY2026 RPDC Total],MATCH(A60,Data[Label],0))</f>
        <v>4804782</v>
      </c>
      <c r="E60" s="177">
        <f>INDEX(Data[FY2026 RPDC Budget Guarantee],MATCH(A60,Data[Label],0))</f>
        <v>193872</v>
      </c>
      <c r="F60" s="193">
        <f t="shared" si="0"/>
        <v>4998654</v>
      </c>
      <c r="G60" s="176">
        <f>INDEX(Data[FY2027 Budget Enrollment],MATCH(A60,Data[Label],0))</f>
        <v>562.20000000000005</v>
      </c>
      <c r="H60" s="177">
        <f t="shared" si="1"/>
        <v>8148</v>
      </c>
      <c r="I60" s="177">
        <f t="shared" si="2"/>
        <v>4580805.6000000006</v>
      </c>
      <c r="J60" s="177">
        <f t="shared" si="3"/>
        <v>272024</v>
      </c>
      <c r="K60" s="177">
        <f t="shared" si="4"/>
        <v>4852829.6000000006</v>
      </c>
      <c r="L60" s="177">
        <f t="shared" si="5"/>
        <v>-145824.39999999944</v>
      </c>
      <c r="M60" s="178">
        <f t="shared" si="6"/>
        <v>-2.9172733299804195E-2</v>
      </c>
      <c r="N60" s="179">
        <f t="shared" si="7"/>
        <v>-39.299999999999955</v>
      </c>
      <c r="O60" s="180">
        <f t="shared" si="8"/>
        <v>-6.5336658354114632E-2</v>
      </c>
    </row>
    <row r="61" spans="1:15" x14ac:dyDescent="0.55000000000000004">
      <c r="A61" s="198" t="s">
        <v>54</v>
      </c>
      <c r="B61" s="181">
        <f>INDEX(Data[FY2026 Budget Enrollment],MATCH(A61,Data[Label],0))</f>
        <v>844.8</v>
      </c>
      <c r="C61" s="182">
        <f>INDEX(Data[FY26 RPDC Per Student],MATCH(A61,Data[Label],0))</f>
        <v>7988</v>
      </c>
      <c r="D61" s="182">
        <f>INDEX(Data[FY2026 RPDC Total],MATCH(A61,Data[Label],0))</f>
        <v>6748262</v>
      </c>
      <c r="E61" s="182">
        <f>INDEX(Data[FY2026 RPDC Budget Guarantee],MATCH(A61,Data[Label],0))</f>
        <v>0</v>
      </c>
      <c r="F61" s="194">
        <f t="shared" si="0"/>
        <v>6748262</v>
      </c>
      <c r="G61" s="181">
        <f>INDEX(Data[FY2027 Budget Enrollment],MATCH(A61,Data[Label],0))</f>
        <v>830.3</v>
      </c>
      <c r="H61" s="182">
        <f t="shared" si="1"/>
        <v>8148</v>
      </c>
      <c r="I61" s="182">
        <f t="shared" si="2"/>
        <v>6765284.3999999994</v>
      </c>
      <c r="J61" s="182">
        <f t="shared" si="3"/>
        <v>50460</v>
      </c>
      <c r="K61" s="182">
        <f t="shared" si="4"/>
        <v>6815744.3999999994</v>
      </c>
      <c r="L61" s="182">
        <f t="shared" si="5"/>
        <v>67482.399999999441</v>
      </c>
      <c r="M61" s="183">
        <f t="shared" si="6"/>
        <v>9.9999673990131734E-3</v>
      </c>
      <c r="N61" s="184">
        <f t="shared" si="7"/>
        <v>-14.5</v>
      </c>
      <c r="O61" s="185">
        <f t="shared" si="8"/>
        <v>-1.716382575757576E-2</v>
      </c>
    </row>
    <row r="62" spans="1:15" x14ac:dyDescent="0.55000000000000004">
      <c r="A62" s="197" t="s">
        <v>55</v>
      </c>
      <c r="B62" s="176">
        <f>INDEX(Data[FY2026 Budget Enrollment],MATCH(A62,Data[Label],0))</f>
        <v>732.8</v>
      </c>
      <c r="C62" s="177">
        <f>INDEX(Data[FY26 RPDC Per Student],MATCH(A62,Data[Label],0))</f>
        <v>7988</v>
      </c>
      <c r="D62" s="177">
        <f>INDEX(Data[FY2026 RPDC Total],MATCH(A62,Data[Label],0))</f>
        <v>5853606</v>
      </c>
      <c r="E62" s="177">
        <f>INDEX(Data[FY2026 RPDC Budget Guarantee],MATCH(A62,Data[Label],0))</f>
        <v>148889</v>
      </c>
      <c r="F62" s="193">
        <f t="shared" si="0"/>
        <v>6002495</v>
      </c>
      <c r="G62" s="176">
        <f>INDEX(Data[FY2027 Budget Enrollment],MATCH(A62,Data[Label],0))</f>
        <v>710.7</v>
      </c>
      <c r="H62" s="177">
        <f t="shared" si="1"/>
        <v>8148</v>
      </c>
      <c r="I62" s="177">
        <f t="shared" si="2"/>
        <v>5790783.6000000006</v>
      </c>
      <c r="J62" s="177">
        <f t="shared" si="3"/>
        <v>121358</v>
      </c>
      <c r="K62" s="177">
        <f t="shared" si="4"/>
        <v>5912141.6000000006</v>
      </c>
      <c r="L62" s="177">
        <f t="shared" si="5"/>
        <v>-90353.399999999441</v>
      </c>
      <c r="M62" s="178">
        <f t="shared" si="6"/>
        <v>-1.5052640610279465E-2</v>
      </c>
      <c r="N62" s="179">
        <f t="shared" si="7"/>
        <v>-22.099999999999909</v>
      </c>
      <c r="O62" s="180">
        <f t="shared" si="8"/>
        <v>-3.0158296943231321E-2</v>
      </c>
    </row>
    <row r="63" spans="1:15" x14ac:dyDescent="0.55000000000000004">
      <c r="A63" s="198" t="s">
        <v>56</v>
      </c>
      <c r="B63" s="181">
        <f>INDEX(Data[FY2026 Budget Enrollment],MATCH(A63,Data[Label],0))</f>
        <v>766.6</v>
      </c>
      <c r="C63" s="182">
        <f>INDEX(Data[FY26 RPDC Per Student],MATCH(A63,Data[Label],0))</f>
        <v>7988</v>
      </c>
      <c r="D63" s="182">
        <f>INDEX(Data[FY2026 RPDC Total],MATCH(A63,Data[Label],0))</f>
        <v>6123601</v>
      </c>
      <c r="E63" s="182">
        <f>INDEX(Data[FY2026 RPDC Budget Guarantee],MATCH(A63,Data[Label],0))</f>
        <v>63854</v>
      </c>
      <c r="F63" s="194">
        <f t="shared" si="0"/>
        <v>6187455</v>
      </c>
      <c r="G63" s="181">
        <f>INDEX(Data[FY2027 Budget Enrollment],MATCH(A63,Data[Label],0))</f>
        <v>727.1</v>
      </c>
      <c r="H63" s="182">
        <f t="shared" si="1"/>
        <v>8148</v>
      </c>
      <c r="I63" s="182">
        <f t="shared" si="2"/>
        <v>5924410.7999999998</v>
      </c>
      <c r="J63" s="182">
        <f t="shared" si="3"/>
        <v>260426</v>
      </c>
      <c r="K63" s="182">
        <f t="shared" si="4"/>
        <v>6184836.7999999998</v>
      </c>
      <c r="L63" s="182">
        <f t="shared" si="5"/>
        <v>-2618.2000000001863</v>
      </c>
      <c r="M63" s="183">
        <f t="shared" si="6"/>
        <v>-4.2314651177264098E-4</v>
      </c>
      <c r="N63" s="184">
        <f t="shared" si="7"/>
        <v>-39.5</v>
      </c>
      <c r="O63" s="185">
        <f t="shared" si="8"/>
        <v>-5.1526219671275762E-2</v>
      </c>
    </row>
    <row r="64" spans="1:15" x14ac:dyDescent="0.55000000000000004">
      <c r="A64" s="197" t="s">
        <v>57</v>
      </c>
      <c r="B64" s="176">
        <f>INDEX(Data[FY2026 Budget Enrollment],MATCH(A64,Data[Label],0))</f>
        <v>1322.6</v>
      </c>
      <c r="C64" s="177">
        <f>INDEX(Data[FY26 RPDC Per Student],MATCH(A64,Data[Label],0))</f>
        <v>7988</v>
      </c>
      <c r="D64" s="177">
        <f>INDEX(Data[FY2026 RPDC Total],MATCH(A64,Data[Label],0))</f>
        <v>10564929</v>
      </c>
      <c r="E64" s="177">
        <f>INDEX(Data[FY2026 RPDC Budget Guarantee],MATCH(A64,Data[Label],0))</f>
        <v>0</v>
      </c>
      <c r="F64" s="193">
        <f t="shared" si="0"/>
        <v>10564929</v>
      </c>
      <c r="G64" s="176">
        <f>INDEX(Data[FY2027 Budget Enrollment],MATCH(A64,Data[Label],0))</f>
        <v>1297.0999999999999</v>
      </c>
      <c r="H64" s="177">
        <f t="shared" si="1"/>
        <v>8148</v>
      </c>
      <c r="I64" s="177">
        <f t="shared" si="2"/>
        <v>10568770.799999999</v>
      </c>
      <c r="J64" s="177">
        <f t="shared" si="3"/>
        <v>101807</v>
      </c>
      <c r="K64" s="177">
        <f t="shared" si="4"/>
        <v>10670577.799999999</v>
      </c>
      <c r="L64" s="177">
        <f t="shared" si="5"/>
        <v>105648.79999999888</v>
      </c>
      <c r="M64" s="178">
        <f t="shared" si="6"/>
        <v>9.9999536201330723E-3</v>
      </c>
      <c r="N64" s="179">
        <f t="shared" si="7"/>
        <v>-25.5</v>
      </c>
      <c r="O64" s="180">
        <f t="shared" si="8"/>
        <v>-1.9280205655526992E-2</v>
      </c>
    </row>
    <row r="65" spans="1:15" x14ac:dyDescent="0.55000000000000004">
      <c r="A65" s="198" t="s">
        <v>58</v>
      </c>
      <c r="B65" s="181">
        <f>INDEX(Data[FY2026 Budget Enrollment],MATCH(A65,Data[Label],0))</f>
        <v>1420.8</v>
      </c>
      <c r="C65" s="182">
        <f>INDEX(Data[FY26 RPDC Per Student],MATCH(A65,Data[Label],0))</f>
        <v>8008</v>
      </c>
      <c r="D65" s="182">
        <f>INDEX(Data[FY2026 RPDC Total],MATCH(A65,Data[Label],0))</f>
        <v>11377766</v>
      </c>
      <c r="E65" s="182">
        <f>INDEX(Data[FY2026 RPDC Budget Guarantee],MATCH(A65,Data[Label],0))</f>
        <v>273856</v>
      </c>
      <c r="F65" s="194">
        <f t="shared" si="0"/>
        <v>11651622</v>
      </c>
      <c r="G65" s="181">
        <f>INDEX(Data[FY2027 Budget Enrollment],MATCH(A65,Data[Label],0))</f>
        <v>1320.2</v>
      </c>
      <c r="H65" s="182">
        <f t="shared" si="1"/>
        <v>8168</v>
      </c>
      <c r="I65" s="182">
        <f t="shared" si="2"/>
        <v>10783393.6</v>
      </c>
      <c r="J65" s="182">
        <f t="shared" si="3"/>
        <v>708150</v>
      </c>
      <c r="K65" s="182">
        <f t="shared" si="4"/>
        <v>11491543.6</v>
      </c>
      <c r="L65" s="182">
        <f t="shared" si="5"/>
        <v>-160078.40000000037</v>
      </c>
      <c r="M65" s="183">
        <f t="shared" si="6"/>
        <v>-1.3738722385604371E-2</v>
      </c>
      <c r="N65" s="184">
        <f t="shared" si="7"/>
        <v>-100.59999999999991</v>
      </c>
      <c r="O65" s="185">
        <f t="shared" si="8"/>
        <v>-7.0805180180180116E-2</v>
      </c>
    </row>
    <row r="66" spans="1:15" x14ac:dyDescent="0.55000000000000004">
      <c r="A66" s="197" t="s">
        <v>59</v>
      </c>
      <c r="B66" s="176">
        <f>INDEX(Data[FY2026 Budget Enrollment],MATCH(A66,Data[Label],0))</f>
        <v>288.39999999999998</v>
      </c>
      <c r="C66" s="177">
        <f>INDEX(Data[FY26 RPDC Per Student],MATCH(A66,Data[Label],0))</f>
        <v>7988</v>
      </c>
      <c r="D66" s="177">
        <f>INDEX(Data[FY2026 RPDC Total],MATCH(A66,Data[Label],0))</f>
        <v>2303739</v>
      </c>
      <c r="E66" s="177">
        <f>INDEX(Data[FY2026 RPDC Budget Guarantee],MATCH(A66,Data[Label],0))</f>
        <v>0</v>
      </c>
      <c r="F66" s="193">
        <f t="shared" si="0"/>
        <v>2303739</v>
      </c>
      <c r="G66" s="176">
        <f>INDEX(Data[FY2027 Budget Enrollment],MATCH(A66,Data[Label],0))</f>
        <v>263.5</v>
      </c>
      <c r="H66" s="177">
        <f t="shared" si="1"/>
        <v>8148</v>
      </c>
      <c r="I66" s="177">
        <f t="shared" si="2"/>
        <v>2146998</v>
      </c>
      <c r="J66" s="177">
        <f t="shared" si="3"/>
        <v>179778</v>
      </c>
      <c r="K66" s="177">
        <f t="shared" si="4"/>
        <v>2326776</v>
      </c>
      <c r="L66" s="177">
        <f t="shared" si="5"/>
        <v>23037</v>
      </c>
      <c r="M66" s="178">
        <f t="shared" si="6"/>
        <v>9.9998307099892821E-3</v>
      </c>
      <c r="N66" s="179">
        <f t="shared" si="7"/>
        <v>-24.899999999999977</v>
      </c>
      <c r="O66" s="180">
        <f t="shared" si="8"/>
        <v>-8.6338418862690641E-2</v>
      </c>
    </row>
    <row r="67" spans="1:15" x14ac:dyDescent="0.55000000000000004">
      <c r="A67" s="198" t="s">
        <v>60</v>
      </c>
      <c r="B67" s="181">
        <f>INDEX(Data[FY2026 Budget Enrollment],MATCH(A67,Data[Label],0))</f>
        <v>1002</v>
      </c>
      <c r="C67" s="182">
        <f>INDEX(Data[FY26 RPDC Per Student],MATCH(A67,Data[Label],0))</f>
        <v>7999</v>
      </c>
      <c r="D67" s="182">
        <f>INDEX(Data[FY2026 RPDC Total],MATCH(A67,Data[Label],0))</f>
        <v>8014998</v>
      </c>
      <c r="E67" s="182">
        <f>INDEX(Data[FY2026 RPDC Budget Guarantee],MATCH(A67,Data[Label],0))</f>
        <v>216695</v>
      </c>
      <c r="F67" s="194">
        <f t="shared" si="0"/>
        <v>8231693</v>
      </c>
      <c r="G67" s="181">
        <f>INDEX(Data[FY2027 Budget Enrollment],MATCH(A67,Data[Label],0))</f>
        <v>1026.8</v>
      </c>
      <c r="H67" s="182">
        <f t="shared" si="1"/>
        <v>8159</v>
      </c>
      <c r="I67" s="182">
        <f t="shared" si="2"/>
        <v>8377661.1999999993</v>
      </c>
      <c r="J67" s="182">
        <f t="shared" si="3"/>
        <v>0</v>
      </c>
      <c r="K67" s="182">
        <f t="shared" si="4"/>
        <v>8377661.1999999993</v>
      </c>
      <c r="L67" s="182">
        <f t="shared" si="5"/>
        <v>145968.19999999925</v>
      </c>
      <c r="M67" s="183">
        <f t="shared" si="6"/>
        <v>1.7732464026537342E-2</v>
      </c>
      <c r="N67" s="184">
        <f t="shared" si="7"/>
        <v>24.799999999999955</v>
      </c>
      <c r="O67" s="185">
        <f t="shared" si="8"/>
        <v>2.4750499001995961E-2</v>
      </c>
    </row>
    <row r="68" spans="1:15" x14ac:dyDescent="0.55000000000000004">
      <c r="A68" s="197" t="s">
        <v>61</v>
      </c>
      <c r="B68" s="176">
        <f>INDEX(Data[FY2026 Budget Enrollment],MATCH(A68,Data[Label],0))</f>
        <v>966.3</v>
      </c>
      <c r="C68" s="177">
        <f>INDEX(Data[FY26 RPDC Per Student],MATCH(A68,Data[Label],0))</f>
        <v>7988</v>
      </c>
      <c r="D68" s="177">
        <f>INDEX(Data[FY2026 RPDC Total],MATCH(A68,Data[Label],0))</f>
        <v>7718804</v>
      </c>
      <c r="E68" s="177">
        <f>INDEX(Data[FY2026 RPDC Budget Guarantee],MATCH(A68,Data[Label],0))</f>
        <v>0</v>
      </c>
      <c r="F68" s="193">
        <f t="shared" si="0"/>
        <v>7718804</v>
      </c>
      <c r="G68" s="176">
        <f>INDEX(Data[FY2027 Budget Enrollment],MATCH(A68,Data[Label],0))</f>
        <v>918.6</v>
      </c>
      <c r="H68" s="177">
        <f t="shared" si="1"/>
        <v>8148</v>
      </c>
      <c r="I68" s="177">
        <f t="shared" si="2"/>
        <v>7484752.7999999998</v>
      </c>
      <c r="J68" s="177">
        <f t="shared" si="3"/>
        <v>311239</v>
      </c>
      <c r="K68" s="177">
        <f t="shared" si="4"/>
        <v>7795991.7999999998</v>
      </c>
      <c r="L68" s="177">
        <f t="shared" si="5"/>
        <v>77187.799999999814</v>
      </c>
      <c r="M68" s="178">
        <f t="shared" si="6"/>
        <v>9.9999689071000909E-3</v>
      </c>
      <c r="N68" s="179">
        <f t="shared" si="7"/>
        <v>-47.699999999999932</v>
      </c>
      <c r="O68" s="180">
        <f t="shared" si="8"/>
        <v>-4.9363551692021043E-2</v>
      </c>
    </row>
    <row r="69" spans="1:15" x14ac:dyDescent="0.55000000000000004">
      <c r="A69" s="198" t="s">
        <v>62</v>
      </c>
      <c r="B69" s="181">
        <f>INDEX(Data[FY2026 Budget Enrollment],MATCH(A69,Data[Label],0))</f>
        <v>972</v>
      </c>
      <c r="C69" s="182">
        <f>INDEX(Data[FY26 RPDC Per Student],MATCH(A69,Data[Label],0))</f>
        <v>7988</v>
      </c>
      <c r="D69" s="182">
        <f>INDEX(Data[FY2026 RPDC Total],MATCH(A69,Data[Label],0))</f>
        <v>7764336</v>
      </c>
      <c r="E69" s="182">
        <f>INDEX(Data[FY2026 RPDC Budget Guarantee],MATCH(A69,Data[Label],0))</f>
        <v>0</v>
      </c>
      <c r="F69" s="194">
        <f t="shared" si="0"/>
        <v>7764336</v>
      </c>
      <c r="G69" s="181">
        <f>INDEX(Data[FY2027 Budget Enrollment],MATCH(A69,Data[Label],0))</f>
        <v>982.4</v>
      </c>
      <c r="H69" s="182">
        <f t="shared" si="1"/>
        <v>8148</v>
      </c>
      <c r="I69" s="182">
        <f t="shared" si="2"/>
        <v>8004595.2000000002</v>
      </c>
      <c r="J69" s="182">
        <f t="shared" si="3"/>
        <v>0</v>
      </c>
      <c r="K69" s="182">
        <f t="shared" si="4"/>
        <v>8004595.2000000002</v>
      </c>
      <c r="L69" s="182">
        <f t="shared" si="5"/>
        <v>240259.20000000019</v>
      </c>
      <c r="M69" s="183">
        <f t="shared" si="6"/>
        <v>3.0943946784374118E-2</v>
      </c>
      <c r="N69" s="184">
        <f t="shared" si="7"/>
        <v>10.399999999999977</v>
      </c>
      <c r="O69" s="185">
        <f t="shared" si="8"/>
        <v>1.0699588477366231E-2</v>
      </c>
    </row>
    <row r="70" spans="1:15" x14ac:dyDescent="0.55000000000000004">
      <c r="A70" s="197" t="s">
        <v>63</v>
      </c>
      <c r="B70" s="176">
        <f>INDEX(Data[FY2026 Budget Enrollment],MATCH(A70,Data[Label],0))</f>
        <v>1477.4</v>
      </c>
      <c r="C70" s="177">
        <f>INDEX(Data[FY26 RPDC Per Student],MATCH(A70,Data[Label],0))</f>
        <v>7988</v>
      </c>
      <c r="D70" s="177">
        <f>INDEX(Data[FY2026 RPDC Total],MATCH(A70,Data[Label],0))</f>
        <v>11801471</v>
      </c>
      <c r="E70" s="177">
        <f>INDEX(Data[FY2026 RPDC Budget Guarantee],MATCH(A70,Data[Label],0))</f>
        <v>0</v>
      </c>
      <c r="F70" s="193">
        <f t="shared" si="0"/>
        <v>11801471</v>
      </c>
      <c r="G70" s="176">
        <f>INDEX(Data[FY2027 Budget Enrollment],MATCH(A70,Data[Label],0))</f>
        <v>1435.2</v>
      </c>
      <c r="H70" s="177">
        <f t="shared" si="1"/>
        <v>8148</v>
      </c>
      <c r="I70" s="177">
        <f t="shared" si="2"/>
        <v>11694009.6</v>
      </c>
      <c r="J70" s="177">
        <f t="shared" si="3"/>
        <v>225476</v>
      </c>
      <c r="K70" s="177">
        <f t="shared" si="4"/>
        <v>11919485.6</v>
      </c>
      <c r="L70" s="177">
        <f t="shared" si="5"/>
        <v>118014.59999999963</v>
      </c>
      <c r="M70" s="178">
        <f t="shared" si="6"/>
        <v>9.9999906791280197E-3</v>
      </c>
      <c r="N70" s="179">
        <f t="shared" si="7"/>
        <v>-42.200000000000045</v>
      </c>
      <c r="O70" s="180">
        <f t="shared" si="8"/>
        <v>-2.8563692974143795E-2</v>
      </c>
    </row>
    <row r="71" spans="1:15" x14ac:dyDescent="0.55000000000000004">
      <c r="A71" s="198" t="s">
        <v>64</v>
      </c>
      <c r="B71" s="181">
        <f>INDEX(Data[FY2026 Budget Enrollment],MATCH(A71,Data[Label],0))</f>
        <v>272.60000000000002</v>
      </c>
      <c r="C71" s="182">
        <f>INDEX(Data[FY26 RPDC Per Student],MATCH(A71,Data[Label],0))</f>
        <v>7988</v>
      </c>
      <c r="D71" s="182">
        <f>INDEX(Data[FY2026 RPDC Total],MATCH(A71,Data[Label],0))</f>
        <v>2177529</v>
      </c>
      <c r="E71" s="182">
        <f>INDEX(Data[FY2026 RPDC Budget Guarantee],MATCH(A71,Data[Label],0))</f>
        <v>40407</v>
      </c>
      <c r="F71" s="194">
        <f t="shared" si="0"/>
        <v>2217936</v>
      </c>
      <c r="G71" s="181">
        <f>INDEX(Data[FY2027 Budget Enrollment],MATCH(A71,Data[Label],0))</f>
        <v>263.89999999999998</v>
      </c>
      <c r="H71" s="182">
        <f t="shared" si="1"/>
        <v>8148</v>
      </c>
      <c r="I71" s="182">
        <f t="shared" si="2"/>
        <v>2150257.1999999997</v>
      </c>
      <c r="J71" s="182">
        <f t="shared" si="3"/>
        <v>49047</v>
      </c>
      <c r="K71" s="182">
        <f t="shared" si="4"/>
        <v>2199304.1999999997</v>
      </c>
      <c r="L71" s="182">
        <f t="shared" si="5"/>
        <v>-18631.800000000279</v>
      </c>
      <c r="M71" s="183">
        <f t="shared" si="6"/>
        <v>-8.4005129092995824E-3</v>
      </c>
      <c r="N71" s="184">
        <f t="shared" si="7"/>
        <v>-8.7000000000000455</v>
      </c>
      <c r="O71" s="185">
        <f t="shared" si="8"/>
        <v>-3.1914893617021441E-2</v>
      </c>
    </row>
    <row r="72" spans="1:15" x14ac:dyDescent="0.55000000000000004">
      <c r="A72" s="197" t="s">
        <v>65</v>
      </c>
      <c r="B72" s="176">
        <f>INDEX(Data[FY2026 Budget Enrollment],MATCH(A72,Data[Label],0))</f>
        <v>268</v>
      </c>
      <c r="C72" s="177">
        <f>INDEX(Data[FY26 RPDC Per Student],MATCH(A72,Data[Label],0))</f>
        <v>8076</v>
      </c>
      <c r="D72" s="177">
        <f>INDEX(Data[FY2026 RPDC Total],MATCH(A72,Data[Label],0))</f>
        <v>2164368</v>
      </c>
      <c r="E72" s="177">
        <f>INDEX(Data[FY2026 RPDC Budget Guarantee],MATCH(A72,Data[Label],0))</f>
        <v>0</v>
      </c>
      <c r="F72" s="193">
        <f t="shared" si="0"/>
        <v>2164368</v>
      </c>
      <c r="G72" s="176">
        <f>INDEX(Data[FY2027 Budget Enrollment],MATCH(A72,Data[Label],0))</f>
        <v>301.10000000000002</v>
      </c>
      <c r="H72" s="177">
        <f t="shared" si="1"/>
        <v>8236</v>
      </c>
      <c r="I72" s="177">
        <f t="shared" si="2"/>
        <v>2479859.6</v>
      </c>
      <c r="J72" s="177">
        <f t="shared" si="3"/>
        <v>0</v>
      </c>
      <c r="K72" s="177">
        <f t="shared" si="4"/>
        <v>2479859.6</v>
      </c>
      <c r="L72" s="177">
        <f t="shared" si="5"/>
        <v>315491.60000000009</v>
      </c>
      <c r="M72" s="178">
        <f t="shared" si="6"/>
        <v>0.14576615436931248</v>
      </c>
      <c r="N72" s="179">
        <f t="shared" si="7"/>
        <v>33.100000000000023</v>
      </c>
      <c r="O72" s="180">
        <f t="shared" si="8"/>
        <v>0.12350746268656725</v>
      </c>
    </row>
    <row r="73" spans="1:15" x14ac:dyDescent="0.55000000000000004">
      <c r="A73" s="198" t="s">
        <v>66</v>
      </c>
      <c r="B73" s="181">
        <f>INDEX(Data[FY2026 Budget Enrollment],MATCH(A73,Data[Label],0))</f>
        <v>638</v>
      </c>
      <c r="C73" s="182">
        <f>INDEX(Data[FY26 RPDC Per Student],MATCH(A73,Data[Label],0))</f>
        <v>8040</v>
      </c>
      <c r="D73" s="182">
        <f>INDEX(Data[FY2026 RPDC Total],MATCH(A73,Data[Label],0))</f>
        <v>5129520</v>
      </c>
      <c r="E73" s="182">
        <f>INDEX(Data[FY2026 RPDC Budget Guarantee],MATCH(A73,Data[Label],0))</f>
        <v>0</v>
      </c>
      <c r="F73" s="194">
        <f t="shared" si="0"/>
        <v>5129520</v>
      </c>
      <c r="G73" s="181">
        <f>INDEX(Data[FY2027 Budget Enrollment],MATCH(A73,Data[Label],0))</f>
        <v>625.1</v>
      </c>
      <c r="H73" s="182">
        <f t="shared" si="1"/>
        <v>8200</v>
      </c>
      <c r="I73" s="182">
        <f t="shared" si="2"/>
        <v>5125820</v>
      </c>
      <c r="J73" s="182">
        <f t="shared" si="3"/>
        <v>54995</v>
      </c>
      <c r="K73" s="182">
        <f t="shared" si="4"/>
        <v>5180815</v>
      </c>
      <c r="L73" s="182">
        <f t="shared" si="5"/>
        <v>51295</v>
      </c>
      <c r="M73" s="183">
        <f t="shared" si="6"/>
        <v>9.9999610099970361E-3</v>
      </c>
      <c r="N73" s="184">
        <f t="shared" si="7"/>
        <v>-12.899999999999977</v>
      </c>
      <c r="O73" s="185">
        <f t="shared" si="8"/>
        <v>-2.0219435736677081E-2</v>
      </c>
    </row>
    <row r="74" spans="1:15" x14ac:dyDescent="0.55000000000000004">
      <c r="A74" s="197" t="s">
        <v>67</v>
      </c>
      <c r="B74" s="176">
        <f>INDEX(Data[FY2026 Budget Enrollment],MATCH(A74,Data[Label],0))</f>
        <v>3122.5</v>
      </c>
      <c r="C74" s="177">
        <f>INDEX(Data[FY26 RPDC Per Student],MATCH(A74,Data[Label],0))</f>
        <v>7988</v>
      </c>
      <c r="D74" s="177">
        <f>INDEX(Data[FY2026 RPDC Total],MATCH(A74,Data[Label],0))</f>
        <v>24942530</v>
      </c>
      <c r="E74" s="177">
        <f>INDEX(Data[FY2026 RPDC Budget Guarantee],MATCH(A74,Data[Label],0))</f>
        <v>0</v>
      </c>
      <c r="F74" s="193">
        <f t="shared" si="0"/>
        <v>24942530</v>
      </c>
      <c r="G74" s="176">
        <f>INDEX(Data[FY2027 Budget Enrollment],MATCH(A74,Data[Label],0))</f>
        <v>3204.4</v>
      </c>
      <c r="H74" s="177">
        <f t="shared" si="1"/>
        <v>8148</v>
      </c>
      <c r="I74" s="177">
        <f t="shared" si="2"/>
        <v>26109451.199999999</v>
      </c>
      <c r="J74" s="177">
        <f t="shared" si="3"/>
        <v>0</v>
      </c>
      <c r="K74" s="177">
        <f t="shared" si="4"/>
        <v>26109451.199999999</v>
      </c>
      <c r="L74" s="177">
        <f t="shared" si="5"/>
        <v>1166921.1999999993</v>
      </c>
      <c r="M74" s="178">
        <f t="shared" si="6"/>
        <v>4.6784395969454551E-2</v>
      </c>
      <c r="N74" s="179">
        <f t="shared" si="7"/>
        <v>81.900000000000091</v>
      </c>
      <c r="O74" s="180">
        <f t="shared" si="8"/>
        <v>2.622898318654927E-2</v>
      </c>
    </row>
    <row r="75" spans="1:15" x14ac:dyDescent="0.55000000000000004">
      <c r="A75" s="198" t="s">
        <v>68</v>
      </c>
      <c r="B75" s="181">
        <f>INDEX(Data[FY2026 Budget Enrollment],MATCH(A75,Data[Label],0))</f>
        <v>1140.4000000000001</v>
      </c>
      <c r="C75" s="182">
        <f>INDEX(Data[FY26 RPDC Per Student],MATCH(A75,Data[Label],0))</f>
        <v>7988</v>
      </c>
      <c r="D75" s="182">
        <f>INDEX(Data[FY2026 RPDC Total],MATCH(A75,Data[Label],0))</f>
        <v>9109515</v>
      </c>
      <c r="E75" s="182">
        <f>INDEX(Data[FY2026 RPDC Budget Guarantee],MATCH(A75,Data[Label],0))</f>
        <v>53103</v>
      </c>
      <c r="F75" s="194">
        <f t="shared" ref="F75:F138" si="9">D75+E75</f>
        <v>9162618</v>
      </c>
      <c r="G75" s="181">
        <f>INDEX(Data[FY2027 Budget Enrollment],MATCH(A75,Data[Label],0))</f>
        <v>1077.9000000000001</v>
      </c>
      <c r="H75" s="182">
        <f t="shared" ref="H75:H138" si="10">MAX(7988+ROUND(7988*$B$6,0)+$E$6,C75+ROUND(7988*$B$6,0))</f>
        <v>8148</v>
      </c>
      <c r="I75" s="182">
        <f t="shared" ref="I75:I138" si="11">G75*H75</f>
        <v>8782729.2000000011</v>
      </c>
      <c r="J75" s="182">
        <f t="shared" ref="J75:J138" si="12">ROUND(MAX((D75*1.01)-I75,0),0)</f>
        <v>417881</v>
      </c>
      <c r="K75" s="182">
        <f t="shared" ref="K75:K138" si="13">I75+J75</f>
        <v>9200610.2000000011</v>
      </c>
      <c r="L75" s="182">
        <f t="shared" ref="L75:L138" si="14">K75-F75</f>
        <v>37992.200000001118</v>
      </c>
      <c r="M75" s="183">
        <f t="shared" ref="M75:M138" si="15">L75/F75</f>
        <v>4.1464350036202659E-3</v>
      </c>
      <c r="N75" s="184">
        <f t="shared" ref="N75:N138" si="16">G75-B75</f>
        <v>-62.5</v>
      </c>
      <c r="O75" s="185">
        <f t="shared" ref="O75:O138" si="17">N75/B75</f>
        <v>-5.4805331462644678E-2</v>
      </c>
    </row>
    <row r="76" spans="1:15" x14ac:dyDescent="0.55000000000000004">
      <c r="A76" s="197" t="s">
        <v>69</v>
      </c>
      <c r="B76" s="176">
        <f>INDEX(Data[FY2026 Budget Enrollment],MATCH(A76,Data[Label],0))</f>
        <v>3584.2</v>
      </c>
      <c r="C76" s="177">
        <f>INDEX(Data[FY26 RPDC Per Student],MATCH(A76,Data[Label],0))</f>
        <v>7994</v>
      </c>
      <c r="D76" s="177">
        <f>INDEX(Data[FY2026 RPDC Total],MATCH(A76,Data[Label],0))</f>
        <v>28652095</v>
      </c>
      <c r="E76" s="177">
        <f>INDEX(Data[FY2026 RPDC Budget Guarantee],MATCH(A76,Data[Label],0))</f>
        <v>0</v>
      </c>
      <c r="F76" s="193">
        <f t="shared" si="9"/>
        <v>28652095</v>
      </c>
      <c r="G76" s="176">
        <f>INDEX(Data[FY2027 Budget Enrollment],MATCH(A76,Data[Label],0))</f>
        <v>3614.9</v>
      </c>
      <c r="H76" s="177">
        <f t="shared" si="10"/>
        <v>8154</v>
      </c>
      <c r="I76" s="177">
        <f t="shared" si="11"/>
        <v>29475894.600000001</v>
      </c>
      <c r="J76" s="177">
        <f t="shared" si="12"/>
        <v>0</v>
      </c>
      <c r="K76" s="177">
        <f t="shared" si="13"/>
        <v>29475894.600000001</v>
      </c>
      <c r="L76" s="177">
        <f t="shared" si="14"/>
        <v>823799.60000000149</v>
      </c>
      <c r="M76" s="178">
        <f t="shared" si="15"/>
        <v>2.8751810295198361E-2</v>
      </c>
      <c r="N76" s="179">
        <f t="shared" si="16"/>
        <v>30.700000000000273</v>
      </c>
      <c r="O76" s="180">
        <f t="shared" si="17"/>
        <v>8.5653702360360129E-3</v>
      </c>
    </row>
    <row r="77" spans="1:15" x14ac:dyDescent="0.55000000000000004">
      <c r="A77" s="198" t="s">
        <v>70</v>
      </c>
      <c r="B77" s="181">
        <f>INDEX(Data[FY2026 Budget Enrollment],MATCH(A77,Data[Label],0))</f>
        <v>684.5</v>
      </c>
      <c r="C77" s="182">
        <f>INDEX(Data[FY26 RPDC Per Student],MATCH(A77,Data[Label],0))</f>
        <v>7988</v>
      </c>
      <c r="D77" s="182">
        <f>INDEX(Data[FY2026 RPDC Total],MATCH(A77,Data[Label],0))</f>
        <v>5467786</v>
      </c>
      <c r="E77" s="182">
        <f>INDEX(Data[FY2026 RPDC Budget Guarantee],MATCH(A77,Data[Label],0))</f>
        <v>148982</v>
      </c>
      <c r="F77" s="194">
        <f t="shared" si="9"/>
        <v>5616768</v>
      </c>
      <c r="G77" s="181">
        <f>INDEX(Data[FY2027 Budget Enrollment],MATCH(A77,Data[Label],0))</f>
        <v>663.4</v>
      </c>
      <c r="H77" s="182">
        <f t="shared" si="10"/>
        <v>8148</v>
      </c>
      <c r="I77" s="182">
        <f t="shared" si="11"/>
        <v>5405383.2000000002</v>
      </c>
      <c r="J77" s="182">
        <f t="shared" si="12"/>
        <v>117081</v>
      </c>
      <c r="K77" s="182">
        <f t="shared" si="13"/>
        <v>5522464.2000000002</v>
      </c>
      <c r="L77" s="182">
        <f t="shared" si="14"/>
        <v>-94303.799999999814</v>
      </c>
      <c r="M77" s="183">
        <f t="shared" si="15"/>
        <v>-1.6789691153346518E-2</v>
      </c>
      <c r="N77" s="184">
        <f t="shared" si="16"/>
        <v>-21.100000000000023</v>
      </c>
      <c r="O77" s="185">
        <f t="shared" si="17"/>
        <v>-3.0825420014609237E-2</v>
      </c>
    </row>
    <row r="78" spans="1:15" x14ac:dyDescent="0.55000000000000004">
      <c r="A78" s="197" t="s">
        <v>71</v>
      </c>
      <c r="B78" s="176">
        <f>INDEX(Data[FY2026 Budget Enrollment],MATCH(A78,Data[Label],0))</f>
        <v>5113.8</v>
      </c>
      <c r="C78" s="177">
        <f>INDEX(Data[FY26 RPDC Per Student],MATCH(A78,Data[Label],0))</f>
        <v>7988</v>
      </c>
      <c r="D78" s="177">
        <f>INDEX(Data[FY2026 RPDC Total],MATCH(A78,Data[Label],0))</f>
        <v>40849034</v>
      </c>
      <c r="E78" s="177">
        <f>INDEX(Data[FY2026 RPDC Budget Guarantee],MATCH(A78,Data[Label],0))</f>
        <v>0</v>
      </c>
      <c r="F78" s="193">
        <f t="shared" si="9"/>
        <v>40849034</v>
      </c>
      <c r="G78" s="176">
        <f>INDEX(Data[FY2027 Budget Enrollment],MATCH(A78,Data[Label],0))</f>
        <v>5026.6000000000004</v>
      </c>
      <c r="H78" s="177">
        <f t="shared" si="10"/>
        <v>8148</v>
      </c>
      <c r="I78" s="177">
        <f t="shared" si="11"/>
        <v>40956736.800000004</v>
      </c>
      <c r="J78" s="177">
        <f t="shared" si="12"/>
        <v>300788</v>
      </c>
      <c r="K78" s="177">
        <f t="shared" si="13"/>
        <v>41257524.800000004</v>
      </c>
      <c r="L78" s="177">
        <f t="shared" si="14"/>
        <v>408490.80000000447</v>
      </c>
      <c r="M78" s="178">
        <f t="shared" si="15"/>
        <v>1.0000011260976318E-2</v>
      </c>
      <c r="N78" s="179">
        <f t="shared" si="16"/>
        <v>-87.199999999999818</v>
      </c>
      <c r="O78" s="180">
        <f t="shared" si="17"/>
        <v>-1.7051898783683329E-2</v>
      </c>
    </row>
    <row r="79" spans="1:15" x14ac:dyDescent="0.55000000000000004">
      <c r="A79" s="198" t="s">
        <v>72</v>
      </c>
      <c r="B79" s="181">
        <f>INDEX(Data[FY2026 Budget Enrollment],MATCH(A79,Data[Label],0))</f>
        <v>418.1</v>
      </c>
      <c r="C79" s="182">
        <f>INDEX(Data[FY26 RPDC Per Student],MATCH(A79,Data[Label],0))</f>
        <v>7988</v>
      </c>
      <c r="D79" s="182">
        <f>INDEX(Data[FY2026 RPDC Total],MATCH(A79,Data[Label],0))</f>
        <v>3339783</v>
      </c>
      <c r="E79" s="182">
        <f>INDEX(Data[FY2026 RPDC Budget Guarantee],MATCH(A79,Data[Label],0))</f>
        <v>151528</v>
      </c>
      <c r="F79" s="194">
        <f t="shared" si="9"/>
        <v>3491311</v>
      </c>
      <c r="G79" s="181">
        <f>INDEX(Data[FY2027 Budget Enrollment],MATCH(A79,Data[Label],0))</f>
        <v>422</v>
      </c>
      <c r="H79" s="182">
        <f t="shared" si="10"/>
        <v>8148</v>
      </c>
      <c r="I79" s="182">
        <f t="shared" si="11"/>
        <v>3438456</v>
      </c>
      <c r="J79" s="182">
        <f t="shared" si="12"/>
        <v>0</v>
      </c>
      <c r="K79" s="182">
        <f t="shared" si="13"/>
        <v>3438456</v>
      </c>
      <c r="L79" s="182">
        <f t="shared" si="14"/>
        <v>-52855</v>
      </c>
      <c r="M79" s="183">
        <f t="shared" si="15"/>
        <v>-1.513901225069895E-2</v>
      </c>
      <c r="N79" s="184">
        <f t="shared" si="16"/>
        <v>3.8999999999999773</v>
      </c>
      <c r="O79" s="185">
        <f t="shared" si="17"/>
        <v>9.3279119827791839E-3</v>
      </c>
    </row>
    <row r="80" spans="1:15" x14ac:dyDescent="0.55000000000000004">
      <c r="A80" s="197" t="s">
        <v>73</v>
      </c>
      <c r="B80" s="176">
        <f>INDEX(Data[FY2026 Budget Enrollment],MATCH(A80,Data[Label],0))</f>
        <v>452</v>
      </c>
      <c r="C80" s="177">
        <f>INDEX(Data[FY26 RPDC Per Student],MATCH(A80,Data[Label],0))</f>
        <v>7988</v>
      </c>
      <c r="D80" s="177">
        <f>INDEX(Data[FY2026 RPDC Total],MATCH(A80,Data[Label],0))</f>
        <v>3610576</v>
      </c>
      <c r="E80" s="177">
        <f>INDEX(Data[FY2026 RPDC Budget Guarantee],MATCH(A80,Data[Label],0))</f>
        <v>0</v>
      </c>
      <c r="F80" s="193">
        <f t="shared" si="9"/>
        <v>3610576</v>
      </c>
      <c r="G80" s="176">
        <f>INDEX(Data[FY2027 Budget Enrollment],MATCH(A80,Data[Label],0))</f>
        <v>440.5</v>
      </c>
      <c r="H80" s="177">
        <f t="shared" si="10"/>
        <v>8148</v>
      </c>
      <c r="I80" s="177">
        <f t="shared" si="11"/>
        <v>3589194</v>
      </c>
      <c r="J80" s="177">
        <f t="shared" si="12"/>
        <v>57488</v>
      </c>
      <c r="K80" s="177">
        <f t="shared" si="13"/>
        <v>3646682</v>
      </c>
      <c r="L80" s="177">
        <f t="shared" si="14"/>
        <v>36106</v>
      </c>
      <c r="M80" s="178">
        <f t="shared" si="15"/>
        <v>1.0000066471388498E-2</v>
      </c>
      <c r="N80" s="179">
        <f t="shared" si="16"/>
        <v>-11.5</v>
      </c>
      <c r="O80" s="180">
        <f t="shared" si="17"/>
        <v>-2.5442477876106196E-2</v>
      </c>
    </row>
    <row r="81" spans="1:15" x14ac:dyDescent="0.55000000000000004">
      <c r="A81" s="198" t="s">
        <v>74</v>
      </c>
      <c r="B81" s="181">
        <f>INDEX(Data[FY2026 Budget Enrollment],MATCH(A81,Data[Label],0))</f>
        <v>762.5</v>
      </c>
      <c r="C81" s="182">
        <f>INDEX(Data[FY26 RPDC Per Student],MATCH(A81,Data[Label],0))</f>
        <v>7988</v>
      </c>
      <c r="D81" s="182">
        <f>INDEX(Data[FY2026 RPDC Total],MATCH(A81,Data[Label],0))</f>
        <v>6090850</v>
      </c>
      <c r="E81" s="182">
        <f>INDEX(Data[FY2026 RPDC Budget Guarantee],MATCH(A81,Data[Label],0))</f>
        <v>0</v>
      </c>
      <c r="F81" s="194">
        <f t="shared" si="9"/>
        <v>6090850</v>
      </c>
      <c r="G81" s="181">
        <f>INDEX(Data[FY2027 Budget Enrollment],MATCH(A81,Data[Label],0))</f>
        <v>738.2</v>
      </c>
      <c r="H81" s="182">
        <f t="shared" si="10"/>
        <v>8148</v>
      </c>
      <c r="I81" s="182">
        <f t="shared" si="11"/>
        <v>6014853.6000000006</v>
      </c>
      <c r="J81" s="182">
        <f t="shared" si="12"/>
        <v>136905</v>
      </c>
      <c r="K81" s="182">
        <f t="shared" si="13"/>
        <v>6151758.6000000006</v>
      </c>
      <c r="L81" s="182">
        <f t="shared" si="14"/>
        <v>60908.600000000559</v>
      </c>
      <c r="M81" s="183">
        <f t="shared" si="15"/>
        <v>1.0000016418069819E-2</v>
      </c>
      <c r="N81" s="184">
        <f t="shared" si="16"/>
        <v>-24.299999999999955</v>
      </c>
      <c r="O81" s="185">
        <f t="shared" si="17"/>
        <v>-3.1868852459016335E-2</v>
      </c>
    </row>
    <row r="82" spans="1:15" x14ac:dyDescent="0.55000000000000004">
      <c r="A82" s="197" t="s">
        <v>75</v>
      </c>
      <c r="B82" s="176">
        <f>INDEX(Data[FY2026 Budget Enrollment],MATCH(A82,Data[Label],0))</f>
        <v>440.4</v>
      </c>
      <c r="C82" s="177">
        <f>INDEX(Data[FY26 RPDC Per Student],MATCH(A82,Data[Label],0))</f>
        <v>8095</v>
      </c>
      <c r="D82" s="177">
        <f>INDEX(Data[FY2026 RPDC Total],MATCH(A82,Data[Label],0))</f>
        <v>3565038</v>
      </c>
      <c r="E82" s="177">
        <f>INDEX(Data[FY2026 RPDC Budget Guarantee],MATCH(A82,Data[Label],0))</f>
        <v>0</v>
      </c>
      <c r="F82" s="193">
        <f t="shared" si="9"/>
        <v>3565038</v>
      </c>
      <c r="G82" s="176">
        <f>INDEX(Data[FY2027 Budget Enrollment],MATCH(A82,Data[Label],0))</f>
        <v>440</v>
      </c>
      <c r="H82" s="177">
        <f t="shared" si="10"/>
        <v>8255</v>
      </c>
      <c r="I82" s="177">
        <f t="shared" si="11"/>
        <v>3632200</v>
      </c>
      <c r="J82" s="177">
        <f t="shared" si="12"/>
        <v>0</v>
      </c>
      <c r="K82" s="177">
        <f t="shared" si="13"/>
        <v>3632200</v>
      </c>
      <c r="L82" s="177">
        <f t="shared" si="14"/>
        <v>67162</v>
      </c>
      <c r="M82" s="178">
        <f t="shared" si="15"/>
        <v>1.8839069878077035E-2</v>
      </c>
      <c r="N82" s="179">
        <f t="shared" si="16"/>
        <v>-0.39999999999997726</v>
      </c>
      <c r="O82" s="180">
        <f t="shared" si="17"/>
        <v>-9.0826521344227363E-4</v>
      </c>
    </row>
    <row r="83" spans="1:15" x14ac:dyDescent="0.55000000000000004">
      <c r="A83" s="198" t="s">
        <v>76</v>
      </c>
      <c r="B83" s="181">
        <f>INDEX(Data[FY2026 Budget Enrollment],MATCH(A83,Data[Label],0))</f>
        <v>396.1</v>
      </c>
      <c r="C83" s="182">
        <f>INDEX(Data[FY26 RPDC Per Student],MATCH(A83,Data[Label],0))</f>
        <v>7995</v>
      </c>
      <c r="D83" s="182">
        <f>INDEX(Data[FY2026 RPDC Total],MATCH(A83,Data[Label],0))</f>
        <v>3166820</v>
      </c>
      <c r="E83" s="182">
        <f>INDEX(Data[FY2026 RPDC Budget Guarantee],MATCH(A83,Data[Label],0))</f>
        <v>0</v>
      </c>
      <c r="F83" s="194">
        <f t="shared" si="9"/>
        <v>3166820</v>
      </c>
      <c r="G83" s="181">
        <f>INDEX(Data[FY2027 Budget Enrollment],MATCH(A83,Data[Label],0))</f>
        <v>388</v>
      </c>
      <c r="H83" s="182">
        <f t="shared" si="10"/>
        <v>8155</v>
      </c>
      <c r="I83" s="182">
        <f t="shared" si="11"/>
        <v>3164140</v>
      </c>
      <c r="J83" s="182">
        <f t="shared" si="12"/>
        <v>34348</v>
      </c>
      <c r="K83" s="182">
        <f t="shared" si="13"/>
        <v>3198488</v>
      </c>
      <c r="L83" s="182">
        <f t="shared" si="14"/>
        <v>31668</v>
      </c>
      <c r="M83" s="183">
        <f t="shared" si="15"/>
        <v>9.9999368451632875E-3</v>
      </c>
      <c r="N83" s="184">
        <f t="shared" si="16"/>
        <v>-8.1000000000000227</v>
      </c>
      <c r="O83" s="185">
        <f t="shared" si="17"/>
        <v>-2.0449381469325983E-2</v>
      </c>
    </row>
    <row r="84" spans="1:15" x14ac:dyDescent="0.55000000000000004">
      <c r="A84" s="197" t="s">
        <v>77</v>
      </c>
      <c r="B84" s="176">
        <f>INDEX(Data[FY2026 Budget Enrollment],MATCH(A84,Data[Label],0))</f>
        <v>8458.1</v>
      </c>
      <c r="C84" s="177">
        <f>INDEX(Data[FY26 RPDC Per Student],MATCH(A84,Data[Label],0))</f>
        <v>8017</v>
      </c>
      <c r="D84" s="177">
        <f>INDEX(Data[FY2026 RPDC Total],MATCH(A84,Data[Label],0))</f>
        <v>67808588</v>
      </c>
      <c r="E84" s="177">
        <f>INDEX(Data[FY2026 RPDC Budget Guarantee],MATCH(A84,Data[Label],0))</f>
        <v>720583</v>
      </c>
      <c r="F84" s="193">
        <f t="shared" si="9"/>
        <v>68529171</v>
      </c>
      <c r="G84" s="176">
        <f>INDEX(Data[FY2027 Budget Enrollment],MATCH(A84,Data[Label],0))</f>
        <v>8309.2999999999993</v>
      </c>
      <c r="H84" s="177">
        <f t="shared" si="10"/>
        <v>8177</v>
      </c>
      <c r="I84" s="177">
        <f t="shared" si="11"/>
        <v>67945146.099999994</v>
      </c>
      <c r="J84" s="177">
        <f t="shared" si="12"/>
        <v>541528</v>
      </c>
      <c r="K84" s="177">
        <f t="shared" si="13"/>
        <v>68486674.099999994</v>
      </c>
      <c r="L84" s="177">
        <f t="shared" si="14"/>
        <v>-42496.90000000596</v>
      </c>
      <c r="M84" s="178">
        <f t="shared" si="15"/>
        <v>-6.2012861646912321E-4</v>
      </c>
      <c r="N84" s="179">
        <f t="shared" si="16"/>
        <v>-148.80000000000109</v>
      </c>
      <c r="O84" s="180">
        <f t="shared" si="17"/>
        <v>-1.7592603539802212E-2</v>
      </c>
    </row>
    <row r="85" spans="1:15" x14ac:dyDescent="0.55000000000000004">
      <c r="A85" s="198" t="s">
        <v>78</v>
      </c>
      <c r="B85" s="181">
        <f>INDEX(Data[FY2026 Budget Enrollment],MATCH(A85,Data[Label],0))</f>
        <v>1330.5</v>
      </c>
      <c r="C85" s="182">
        <f>INDEX(Data[FY26 RPDC Per Student],MATCH(A85,Data[Label],0))</f>
        <v>7988</v>
      </c>
      <c r="D85" s="182">
        <f>INDEX(Data[FY2026 RPDC Total],MATCH(A85,Data[Label],0))</f>
        <v>10628034</v>
      </c>
      <c r="E85" s="182">
        <f>INDEX(Data[FY2026 RPDC Budget Guarantee],MATCH(A85,Data[Label],0))</f>
        <v>196059</v>
      </c>
      <c r="F85" s="194">
        <f t="shared" si="9"/>
        <v>10824093</v>
      </c>
      <c r="G85" s="181">
        <f>INDEX(Data[FY2027 Budget Enrollment],MATCH(A85,Data[Label],0))</f>
        <v>1285.7</v>
      </c>
      <c r="H85" s="182">
        <f t="shared" si="10"/>
        <v>8148</v>
      </c>
      <c r="I85" s="182">
        <f t="shared" si="11"/>
        <v>10475883.6</v>
      </c>
      <c r="J85" s="182">
        <f t="shared" si="12"/>
        <v>258431</v>
      </c>
      <c r="K85" s="182">
        <f t="shared" si="13"/>
        <v>10734314.6</v>
      </c>
      <c r="L85" s="182">
        <f t="shared" si="14"/>
        <v>-89778.400000000373</v>
      </c>
      <c r="M85" s="183">
        <f t="shared" si="15"/>
        <v>-8.2943115880471808E-3</v>
      </c>
      <c r="N85" s="184">
        <f t="shared" si="16"/>
        <v>-44.799999999999955</v>
      </c>
      <c r="O85" s="185">
        <f t="shared" si="17"/>
        <v>-3.3671552048102182E-2</v>
      </c>
    </row>
    <row r="86" spans="1:15" x14ac:dyDescent="0.55000000000000004">
      <c r="A86" s="197" t="s">
        <v>79</v>
      </c>
      <c r="B86" s="176">
        <f>INDEX(Data[FY2026 Budget Enrollment],MATCH(A86,Data[Label],0))</f>
        <v>3446.3</v>
      </c>
      <c r="C86" s="177">
        <f>INDEX(Data[FY26 RPDC Per Student],MATCH(A86,Data[Label],0))</f>
        <v>7988</v>
      </c>
      <c r="D86" s="177">
        <f>INDEX(Data[FY2026 RPDC Total],MATCH(A86,Data[Label],0))</f>
        <v>27529044</v>
      </c>
      <c r="E86" s="177">
        <f>INDEX(Data[FY2026 RPDC Budget Guarantee],MATCH(A86,Data[Label],0))</f>
        <v>147722</v>
      </c>
      <c r="F86" s="193">
        <f t="shared" si="9"/>
        <v>27676766</v>
      </c>
      <c r="G86" s="176">
        <f>INDEX(Data[FY2027 Budget Enrollment],MATCH(A86,Data[Label],0))</f>
        <v>3404.7</v>
      </c>
      <c r="H86" s="177">
        <f t="shared" si="10"/>
        <v>8148</v>
      </c>
      <c r="I86" s="177">
        <f t="shared" si="11"/>
        <v>27741495.599999998</v>
      </c>
      <c r="J86" s="177">
        <f t="shared" si="12"/>
        <v>62839</v>
      </c>
      <c r="K86" s="177">
        <f t="shared" si="13"/>
        <v>27804334.599999998</v>
      </c>
      <c r="L86" s="177">
        <f t="shared" si="14"/>
        <v>127568.59999999776</v>
      </c>
      <c r="M86" s="178">
        <f t="shared" si="15"/>
        <v>4.6092307172014881E-3</v>
      </c>
      <c r="N86" s="179">
        <f t="shared" si="16"/>
        <v>-41.600000000000364</v>
      </c>
      <c r="O86" s="180">
        <f t="shared" si="17"/>
        <v>-1.2070916635232094E-2</v>
      </c>
    </row>
    <row r="87" spans="1:15" x14ac:dyDescent="0.55000000000000004">
      <c r="A87" s="198" t="s">
        <v>80</v>
      </c>
      <c r="B87" s="181">
        <f>INDEX(Data[FY2026 Budget Enrollment],MATCH(A87,Data[Label],0))</f>
        <v>419.9</v>
      </c>
      <c r="C87" s="182">
        <f>INDEX(Data[FY26 RPDC Per Student],MATCH(A87,Data[Label],0))</f>
        <v>7988</v>
      </c>
      <c r="D87" s="182">
        <f>INDEX(Data[FY2026 RPDC Total],MATCH(A87,Data[Label],0))</f>
        <v>3354161</v>
      </c>
      <c r="E87" s="182">
        <f>INDEX(Data[FY2026 RPDC Budget Guarantee],MATCH(A87,Data[Label],0))</f>
        <v>140313</v>
      </c>
      <c r="F87" s="194">
        <f t="shared" si="9"/>
        <v>3494474</v>
      </c>
      <c r="G87" s="181">
        <f>INDEX(Data[FY2027 Budget Enrollment],MATCH(A87,Data[Label],0))</f>
        <v>419.6</v>
      </c>
      <c r="H87" s="182">
        <f t="shared" si="10"/>
        <v>8148</v>
      </c>
      <c r="I87" s="182">
        <f t="shared" si="11"/>
        <v>3418900.8000000003</v>
      </c>
      <c r="J87" s="182">
        <f t="shared" si="12"/>
        <v>0</v>
      </c>
      <c r="K87" s="182">
        <f t="shared" si="13"/>
        <v>3418900.8000000003</v>
      </c>
      <c r="L87" s="182">
        <f t="shared" si="14"/>
        <v>-75573.199999999721</v>
      </c>
      <c r="M87" s="183">
        <f t="shared" si="15"/>
        <v>-2.1626487992184151E-2</v>
      </c>
      <c r="N87" s="184">
        <f t="shared" si="16"/>
        <v>-0.29999999999995453</v>
      </c>
      <c r="O87" s="185">
        <f t="shared" si="17"/>
        <v>-7.1445582281484763E-4</v>
      </c>
    </row>
    <row r="88" spans="1:15" x14ac:dyDescent="0.55000000000000004">
      <c r="A88" s="197" t="s">
        <v>81</v>
      </c>
      <c r="B88" s="176">
        <f>INDEX(Data[FY2026 Budget Enrollment],MATCH(A88,Data[Label],0))</f>
        <v>13566.8</v>
      </c>
      <c r="C88" s="177">
        <f>INDEX(Data[FY26 RPDC Per Student],MATCH(A88,Data[Label],0))</f>
        <v>7988</v>
      </c>
      <c r="D88" s="177">
        <f>INDEX(Data[FY2026 RPDC Total],MATCH(A88,Data[Label],0))</f>
        <v>108371598</v>
      </c>
      <c r="E88" s="177">
        <f>INDEX(Data[FY2026 RPDC Budget Guarantee],MATCH(A88,Data[Label],0))</f>
        <v>597321</v>
      </c>
      <c r="F88" s="193">
        <f t="shared" si="9"/>
        <v>108968919</v>
      </c>
      <c r="G88" s="176">
        <f>INDEX(Data[FY2027 Budget Enrollment],MATCH(A88,Data[Label],0))</f>
        <v>13370.5</v>
      </c>
      <c r="H88" s="177">
        <f t="shared" si="10"/>
        <v>8148</v>
      </c>
      <c r="I88" s="177">
        <f t="shared" si="11"/>
        <v>108942834</v>
      </c>
      <c r="J88" s="177">
        <f t="shared" si="12"/>
        <v>512480</v>
      </c>
      <c r="K88" s="177">
        <f t="shared" si="13"/>
        <v>109455314</v>
      </c>
      <c r="L88" s="177">
        <f t="shared" si="14"/>
        <v>486395</v>
      </c>
      <c r="M88" s="178">
        <f t="shared" si="15"/>
        <v>4.463612234237177E-3</v>
      </c>
      <c r="N88" s="179">
        <f t="shared" si="16"/>
        <v>-196.29999999999927</v>
      </c>
      <c r="O88" s="180">
        <f t="shared" si="17"/>
        <v>-1.4469145266385536E-2</v>
      </c>
    </row>
    <row r="89" spans="1:15" x14ac:dyDescent="0.55000000000000004">
      <c r="A89" s="198" t="s">
        <v>82</v>
      </c>
      <c r="B89" s="181">
        <f>INDEX(Data[FY2026 Budget Enrollment],MATCH(A89,Data[Label],0))</f>
        <v>1079.2</v>
      </c>
      <c r="C89" s="182">
        <f>INDEX(Data[FY26 RPDC Per Student],MATCH(A89,Data[Label],0))</f>
        <v>7988</v>
      </c>
      <c r="D89" s="182">
        <f>INDEX(Data[FY2026 RPDC Total],MATCH(A89,Data[Label],0))</f>
        <v>8620650</v>
      </c>
      <c r="E89" s="182">
        <f>INDEX(Data[FY2026 RPDC Budget Guarantee],MATCH(A89,Data[Label],0))</f>
        <v>215522</v>
      </c>
      <c r="F89" s="194">
        <f t="shared" si="9"/>
        <v>8836172</v>
      </c>
      <c r="G89" s="181">
        <f>INDEX(Data[FY2027 Budget Enrollment],MATCH(A89,Data[Label],0))</f>
        <v>1030.7</v>
      </c>
      <c r="H89" s="182">
        <f t="shared" si="10"/>
        <v>8148</v>
      </c>
      <c r="I89" s="182">
        <f t="shared" si="11"/>
        <v>8398143.5999999996</v>
      </c>
      <c r="J89" s="182">
        <f t="shared" si="12"/>
        <v>308713</v>
      </c>
      <c r="K89" s="182">
        <f t="shared" si="13"/>
        <v>8706856.5999999996</v>
      </c>
      <c r="L89" s="182">
        <f t="shared" si="14"/>
        <v>-129315.40000000037</v>
      </c>
      <c r="M89" s="183">
        <f t="shared" si="15"/>
        <v>-1.4634776235682191E-2</v>
      </c>
      <c r="N89" s="184">
        <f t="shared" si="16"/>
        <v>-48.5</v>
      </c>
      <c r="O89" s="185">
        <f t="shared" si="17"/>
        <v>-4.4940696812453669E-2</v>
      </c>
    </row>
    <row r="90" spans="1:15" x14ac:dyDescent="0.55000000000000004">
      <c r="A90" s="197" t="s">
        <v>83</v>
      </c>
      <c r="B90" s="176">
        <f>INDEX(Data[FY2026 Budget Enrollment],MATCH(A90,Data[Label],0))</f>
        <v>1450.4</v>
      </c>
      <c r="C90" s="177">
        <f>INDEX(Data[FY26 RPDC Per Student],MATCH(A90,Data[Label],0))</f>
        <v>7988</v>
      </c>
      <c r="D90" s="177">
        <f>INDEX(Data[FY2026 RPDC Total],MATCH(A90,Data[Label],0))</f>
        <v>11585795</v>
      </c>
      <c r="E90" s="177">
        <f>INDEX(Data[FY2026 RPDC Budget Guarantee],MATCH(A90,Data[Label],0))</f>
        <v>338572</v>
      </c>
      <c r="F90" s="193">
        <f t="shared" si="9"/>
        <v>11924367</v>
      </c>
      <c r="G90" s="176">
        <f>INDEX(Data[FY2027 Budget Enrollment],MATCH(A90,Data[Label],0))</f>
        <v>1427.9</v>
      </c>
      <c r="H90" s="177">
        <f t="shared" si="10"/>
        <v>8148</v>
      </c>
      <c r="I90" s="177">
        <f t="shared" si="11"/>
        <v>11634529.200000001</v>
      </c>
      <c r="J90" s="177">
        <f t="shared" si="12"/>
        <v>67124</v>
      </c>
      <c r="K90" s="177">
        <f t="shared" si="13"/>
        <v>11701653.200000001</v>
      </c>
      <c r="L90" s="177">
        <f t="shared" si="14"/>
        <v>-222713.79999999888</v>
      </c>
      <c r="M90" s="178">
        <f t="shared" si="15"/>
        <v>-1.8677201062328834E-2</v>
      </c>
      <c r="N90" s="179">
        <f t="shared" si="16"/>
        <v>-22.5</v>
      </c>
      <c r="O90" s="180">
        <f t="shared" si="17"/>
        <v>-1.5512961941533369E-2</v>
      </c>
    </row>
    <row r="91" spans="1:15" x14ac:dyDescent="0.55000000000000004">
      <c r="A91" s="198" t="s">
        <v>84</v>
      </c>
      <c r="B91" s="181">
        <f>INDEX(Data[FY2026 Budget Enrollment],MATCH(A91,Data[Label],0))</f>
        <v>172</v>
      </c>
      <c r="C91" s="182">
        <f>INDEX(Data[FY26 RPDC Per Student],MATCH(A91,Data[Label],0))</f>
        <v>8123</v>
      </c>
      <c r="D91" s="182">
        <f>INDEX(Data[FY2026 RPDC Total],MATCH(A91,Data[Label],0))</f>
        <v>1397156</v>
      </c>
      <c r="E91" s="182">
        <f>INDEX(Data[FY2026 RPDC Budget Guarantee],MATCH(A91,Data[Label],0))</f>
        <v>75200</v>
      </c>
      <c r="F91" s="194">
        <f t="shared" si="9"/>
        <v>1472356</v>
      </c>
      <c r="G91" s="181">
        <f>INDEX(Data[FY2027 Budget Enrollment],MATCH(A91,Data[Label],0))</f>
        <v>172</v>
      </c>
      <c r="H91" s="182">
        <f t="shared" si="10"/>
        <v>8283</v>
      </c>
      <c r="I91" s="182">
        <f t="shared" si="11"/>
        <v>1424676</v>
      </c>
      <c r="J91" s="182">
        <f t="shared" si="12"/>
        <v>0</v>
      </c>
      <c r="K91" s="182">
        <f t="shared" si="13"/>
        <v>1424676</v>
      </c>
      <c r="L91" s="182">
        <f t="shared" si="14"/>
        <v>-47680</v>
      </c>
      <c r="M91" s="183">
        <f t="shared" si="15"/>
        <v>-3.2383472475406766E-2</v>
      </c>
      <c r="N91" s="184">
        <f t="shared" si="16"/>
        <v>0</v>
      </c>
      <c r="O91" s="185">
        <f t="shared" si="17"/>
        <v>0</v>
      </c>
    </row>
    <row r="92" spans="1:15" x14ac:dyDescent="0.55000000000000004">
      <c r="A92" s="197" t="s">
        <v>85</v>
      </c>
      <c r="B92" s="176">
        <f>INDEX(Data[FY2026 Budget Enrollment],MATCH(A92,Data[Label],0))</f>
        <v>1977</v>
      </c>
      <c r="C92" s="177">
        <f>INDEX(Data[FY26 RPDC Per Student],MATCH(A92,Data[Label],0))</f>
        <v>7988</v>
      </c>
      <c r="D92" s="177">
        <f>INDEX(Data[FY2026 RPDC Total],MATCH(A92,Data[Label],0))</f>
        <v>15792276</v>
      </c>
      <c r="E92" s="177">
        <f>INDEX(Data[FY2026 RPDC Budget Guarantee],MATCH(A92,Data[Label],0))</f>
        <v>0</v>
      </c>
      <c r="F92" s="193">
        <f t="shared" si="9"/>
        <v>15792276</v>
      </c>
      <c r="G92" s="176">
        <f>INDEX(Data[FY2027 Budget Enrollment],MATCH(A92,Data[Label],0))</f>
        <v>1946.4</v>
      </c>
      <c r="H92" s="177">
        <f t="shared" si="10"/>
        <v>8148</v>
      </c>
      <c r="I92" s="177">
        <f t="shared" si="11"/>
        <v>15859267.200000001</v>
      </c>
      <c r="J92" s="177">
        <f t="shared" si="12"/>
        <v>90932</v>
      </c>
      <c r="K92" s="177">
        <f t="shared" si="13"/>
        <v>15950199.200000001</v>
      </c>
      <c r="L92" s="177">
        <f t="shared" si="14"/>
        <v>157923.20000000112</v>
      </c>
      <c r="M92" s="178">
        <f t="shared" si="15"/>
        <v>1.000002786172184E-2</v>
      </c>
      <c r="N92" s="179">
        <f t="shared" si="16"/>
        <v>-30.599999999999909</v>
      </c>
      <c r="O92" s="180">
        <f t="shared" si="17"/>
        <v>-1.5477996965098589E-2</v>
      </c>
    </row>
    <row r="93" spans="1:15" x14ac:dyDescent="0.55000000000000004">
      <c r="A93" s="198" t="s">
        <v>86</v>
      </c>
      <c r="B93" s="181">
        <f>INDEX(Data[FY2026 Budget Enrollment],MATCH(A93,Data[Label],0))</f>
        <v>872.2</v>
      </c>
      <c r="C93" s="182">
        <f>INDEX(Data[FY26 RPDC Per Student],MATCH(A93,Data[Label],0))</f>
        <v>7988</v>
      </c>
      <c r="D93" s="182">
        <f>INDEX(Data[FY2026 RPDC Total],MATCH(A93,Data[Label],0))</f>
        <v>6967134</v>
      </c>
      <c r="E93" s="182">
        <f>INDEX(Data[FY2026 RPDC Budget Guarantee],MATCH(A93,Data[Label],0))</f>
        <v>0</v>
      </c>
      <c r="F93" s="194">
        <f t="shared" si="9"/>
        <v>6967134</v>
      </c>
      <c r="G93" s="181">
        <f>INDEX(Data[FY2027 Budget Enrollment],MATCH(A93,Data[Label],0))</f>
        <v>866.6</v>
      </c>
      <c r="H93" s="182">
        <f t="shared" si="10"/>
        <v>8148</v>
      </c>
      <c r="I93" s="182">
        <f t="shared" si="11"/>
        <v>7061056.7999999998</v>
      </c>
      <c r="J93" s="182">
        <f t="shared" si="12"/>
        <v>0</v>
      </c>
      <c r="K93" s="182">
        <f t="shared" si="13"/>
        <v>7061056.7999999998</v>
      </c>
      <c r="L93" s="182">
        <f t="shared" si="14"/>
        <v>93922.799999999814</v>
      </c>
      <c r="M93" s="183">
        <f t="shared" si="15"/>
        <v>1.3480837314166745E-2</v>
      </c>
      <c r="N93" s="184">
        <f t="shared" si="16"/>
        <v>-5.6000000000000227</v>
      </c>
      <c r="O93" s="185">
        <f t="shared" si="17"/>
        <v>-6.420545746388469E-3</v>
      </c>
    </row>
    <row r="94" spans="1:15" x14ac:dyDescent="0.55000000000000004">
      <c r="A94" s="197" t="s">
        <v>87</v>
      </c>
      <c r="B94" s="176">
        <f>INDEX(Data[FY2026 Budget Enrollment],MATCH(A94,Data[Label],0))</f>
        <v>30836.3</v>
      </c>
      <c r="C94" s="177">
        <f>INDEX(Data[FY26 RPDC Per Student],MATCH(A94,Data[Label],0))</f>
        <v>8016</v>
      </c>
      <c r="D94" s="177">
        <f>INDEX(Data[FY2026 RPDC Total],MATCH(A94,Data[Label],0))</f>
        <v>247183781</v>
      </c>
      <c r="E94" s="177">
        <f>INDEX(Data[FY2026 RPDC Budget Guarantee],MATCH(A94,Data[Label],0))</f>
        <v>0</v>
      </c>
      <c r="F94" s="193">
        <f t="shared" si="9"/>
        <v>247183781</v>
      </c>
      <c r="G94" s="176">
        <f>INDEX(Data[FY2027 Budget Enrollment],MATCH(A94,Data[Label],0))</f>
        <v>30159.7</v>
      </c>
      <c r="H94" s="177">
        <f t="shared" si="10"/>
        <v>8176</v>
      </c>
      <c r="I94" s="177">
        <f t="shared" si="11"/>
        <v>246585707.20000002</v>
      </c>
      <c r="J94" s="177">
        <f t="shared" si="12"/>
        <v>3069912</v>
      </c>
      <c r="K94" s="177">
        <f t="shared" si="13"/>
        <v>249655619.20000002</v>
      </c>
      <c r="L94" s="177">
        <f t="shared" si="14"/>
        <v>2471838.2000000179</v>
      </c>
      <c r="M94" s="178">
        <f t="shared" si="15"/>
        <v>1.0000001577773494E-2</v>
      </c>
      <c r="N94" s="179">
        <f t="shared" si="16"/>
        <v>-676.59999999999854</v>
      </c>
      <c r="O94" s="180">
        <f t="shared" si="17"/>
        <v>-2.1941672639064953E-2</v>
      </c>
    </row>
    <row r="95" spans="1:15" x14ac:dyDescent="0.55000000000000004">
      <c r="A95" s="198" t="s">
        <v>88</v>
      </c>
      <c r="B95" s="181">
        <f>INDEX(Data[FY2026 Budget Enrollment],MATCH(A95,Data[Label],0))</f>
        <v>90</v>
      </c>
      <c r="C95" s="182">
        <f>INDEX(Data[FY26 RPDC Per Student],MATCH(A95,Data[Label],0))</f>
        <v>7988</v>
      </c>
      <c r="D95" s="182">
        <f>INDEX(Data[FY2026 RPDC Total],MATCH(A95,Data[Label],0))</f>
        <v>718920</v>
      </c>
      <c r="E95" s="182">
        <f>INDEX(Data[FY2026 RPDC Budget Guarantee],MATCH(A95,Data[Label],0))</f>
        <v>0</v>
      </c>
      <c r="F95" s="194">
        <f t="shared" si="9"/>
        <v>718920</v>
      </c>
      <c r="G95" s="181">
        <f>INDEX(Data[FY2027 Budget Enrollment],MATCH(A95,Data[Label],0))</f>
        <v>97</v>
      </c>
      <c r="H95" s="182">
        <f t="shared" si="10"/>
        <v>8148</v>
      </c>
      <c r="I95" s="182">
        <f t="shared" si="11"/>
        <v>790356</v>
      </c>
      <c r="J95" s="182">
        <f t="shared" si="12"/>
        <v>0</v>
      </c>
      <c r="K95" s="182">
        <f t="shared" si="13"/>
        <v>790356</v>
      </c>
      <c r="L95" s="182">
        <f t="shared" si="14"/>
        <v>71436</v>
      </c>
      <c r="M95" s="183">
        <f t="shared" si="15"/>
        <v>9.9365715239525962E-2</v>
      </c>
      <c r="N95" s="184">
        <f t="shared" si="16"/>
        <v>7</v>
      </c>
      <c r="O95" s="185">
        <f t="shared" si="17"/>
        <v>7.7777777777777779E-2</v>
      </c>
    </row>
    <row r="96" spans="1:15" x14ac:dyDescent="0.55000000000000004">
      <c r="A96" s="197" t="s">
        <v>89</v>
      </c>
      <c r="B96" s="176">
        <f>INDEX(Data[FY2026 Budget Enrollment],MATCH(A96,Data[Label],0))</f>
        <v>851.6</v>
      </c>
      <c r="C96" s="177">
        <f>INDEX(Data[FY26 RPDC Per Student],MATCH(A96,Data[Label],0))</f>
        <v>7988</v>
      </c>
      <c r="D96" s="177">
        <f>INDEX(Data[FY2026 RPDC Total],MATCH(A96,Data[Label],0))</f>
        <v>6802581</v>
      </c>
      <c r="E96" s="177">
        <f>INDEX(Data[FY2026 RPDC Budget Guarantee],MATCH(A96,Data[Label],0))</f>
        <v>93886</v>
      </c>
      <c r="F96" s="193">
        <f t="shared" si="9"/>
        <v>6896467</v>
      </c>
      <c r="G96" s="176">
        <f>INDEX(Data[FY2027 Budget Enrollment],MATCH(A96,Data[Label],0))</f>
        <v>832.1</v>
      </c>
      <c r="H96" s="177">
        <f t="shared" si="10"/>
        <v>8148</v>
      </c>
      <c r="I96" s="177">
        <f t="shared" si="11"/>
        <v>6779950.7999999998</v>
      </c>
      <c r="J96" s="177">
        <f t="shared" si="12"/>
        <v>90656</v>
      </c>
      <c r="K96" s="177">
        <f t="shared" si="13"/>
        <v>6870606.7999999998</v>
      </c>
      <c r="L96" s="177">
        <f t="shared" si="14"/>
        <v>-25860.200000000186</v>
      </c>
      <c r="M96" s="178">
        <f t="shared" si="15"/>
        <v>-3.7497750659867125E-3</v>
      </c>
      <c r="N96" s="179">
        <f t="shared" si="16"/>
        <v>-19.5</v>
      </c>
      <c r="O96" s="180">
        <f t="shared" si="17"/>
        <v>-2.2898074213245655E-2</v>
      </c>
    </row>
    <row r="97" spans="1:15" x14ac:dyDescent="0.55000000000000004">
      <c r="A97" s="198" t="s">
        <v>90</v>
      </c>
      <c r="B97" s="181">
        <f>INDEX(Data[FY2026 Budget Enrollment],MATCH(A97,Data[Label],0))</f>
        <v>9862.9</v>
      </c>
      <c r="C97" s="182">
        <f>INDEX(Data[FY26 RPDC Per Student],MATCH(A97,Data[Label],0))</f>
        <v>7988</v>
      </c>
      <c r="D97" s="182">
        <f>INDEX(Data[FY2026 RPDC Total],MATCH(A97,Data[Label],0))</f>
        <v>78784845</v>
      </c>
      <c r="E97" s="182">
        <f>INDEX(Data[FY2026 RPDC Budget Guarantee],MATCH(A97,Data[Label],0))</f>
        <v>226138</v>
      </c>
      <c r="F97" s="194">
        <f t="shared" si="9"/>
        <v>79010983</v>
      </c>
      <c r="G97" s="181">
        <f>INDEX(Data[FY2027 Budget Enrollment],MATCH(A97,Data[Label],0))</f>
        <v>9665.7000000000007</v>
      </c>
      <c r="H97" s="182">
        <f t="shared" si="10"/>
        <v>8148</v>
      </c>
      <c r="I97" s="182">
        <f t="shared" si="11"/>
        <v>78756123.600000009</v>
      </c>
      <c r="J97" s="182">
        <f t="shared" si="12"/>
        <v>816570</v>
      </c>
      <c r="K97" s="182">
        <f t="shared" si="13"/>
        <v>79572693.600000009</v>
      </c>
      <c r="L97" s="182">
        <f t="shared" si="14"/>
        <v>561710.60000000894</v>
      </c>
      <c r="M97" s="183">
        <f t="shared" si="15"/>
        <v>7.1092723906499046E-3</v>
      </c>
      <c r="N97" s="184">
        <f t="shared" si="16"/>
        <v>-197.19999999999891</v>
      </c>
      <c r="O97" s="185">
        <f t="shared" si="17"/>
        <v>-1.9994119376653817E-2</v>
      </c>
    </row>
    <row r="98" spans="1:15" x14ac:dyDescent="0.55000000000000004">
      <c r="A98" s="197" t="s">
        <v>91</v>
      </c>
      <c r="B98" s="176">
        <f>INDEX(Data[FY2026 Budget Enrollment],MATCH(A98,Data[Label],0))</f>
        <v>344.5</v>
      </c>
      <c r="C98" s="177">
        <f>INDEX(Data[FY26 RPDC Per Student],MATCH(A98,Data[Label],0))</f>
        <v>7988</v>
      </c>
      <c r="D98" s="177">
        <f>INDEX(Data[FY2026 RPDC Total],MATCH(A98,Data[Label],0))</f>
        <v>2751866</v>
      </c>
      <c r="E98" s="177">
        <f>INDEX(Data[FY2026 RPDC Budget Guarantee],MATCH(A98,Data[Label],0))</f>
        <v>88925</v>
      </c>
      <c r="F98" s="193">
        <f t="shared" si="9"/>
        <v>2840791</v>
      </c>
      <c r="G98" s="176">
        <f>INDEX(Data[FY2027 Budget Enrollment],MATCH(A98,Data[Label],0))</f>
        <v>331.4</v>
      </c>
      <c r="H98" s="177">
        <f t="shared" si="10"/>
        <v>8148</v>
      </c>
      <c r="I98" s="177">
        <f t="shared" si="11"/>
        <v>2700247.1999999997</v>
      </c>
      <c r="J98" s="177">
        <f t="shared" si="12"/>
        <v>79137</v>
      </c>
      <c r="K98" s="177">
        <f t="shared" si="13"/>
        <v>2779384.1999999997</v>
      </c>
      <c r="L98" s="177">
        <f t="shared" si="14"/>
        <v>-61406.800000000279</v>
      </c>
      <c r="M98" s="178">
        <f t="shared" si="15"/>
        <v>-2.161609213771808E-2</v>
      </c>
      <c r="N98" s="179">
        <f t="shared" si="16"/>
        <v>-13.100000000000023</v>
      </c>
      <c r="O98" s="180">
        <f t="shared" si="17"/>
        <v>-3.8026124818577714E-2</v>
      </c>
    </row>
    <row r="99" spans="1:15" x14ac:dyDescent="0.55000000000000004">
      <c r="A99" s="198" t="s">
        <v>92</v>
      </c>
      <c r="B99" s="181">
        <f>INDEX(Data[FY2026 Budget Enrollment],MATCH(A99,Data[Label],0))</f>
        <v>470.7</v>
      </c>
      <c r="C99" s="182">
        <f>INDEX(Data[FY26 RPDC Per Student],MATCH(A99,Data[Label],0))</f>
        <v>7994</v>
      </c>
      <c r="D99" s="182">
        <f>INDEX(Data[FY2026 RPDC Total],MATCH(A99,Data[Label],0))</f>
        <v>3762776</v>
      </c>
      <c r="E99" s="182">
        <f>INDEX(Data[FY2026 RPDC Budget Guarantee],MATCH(A99,Data[Label],0))</f>
        <v>118130</v>
      </c>
      <c r="F99" s="194">
        <f t="shared" si="9"/>
        <v>3880906</v>
      </c>
      <c r="G99" s="181">
        <f>INDEX(Data[FY2027 Budget Enrollment],MATCH(A99,Data[Label],0))</f>
        <v>443.7</v>
      </c>
      <c r="H99" s="182">
        <f t="shared" si="10"/>
        <v>8154</v>
      </c>
      <c r="I99" s="182">
        <f t="shared" si="11"/>
        <v>3617929.8</v>
      </c>
      <c r="J99" s="182">
        <f t="shared" si="12"/>
        <v>182474</v>
      </c>
      <c r="K99" s="182">
        <f t="shared" si="13"/>
        <v>3800403.8</v>
      </c>
      <c r="L99" s="182">
        <f t="shared" si="14"/>
        <v>-80502.200000000186</v>
      </c>
      <c r="M99" s="183">
        <f t="shared" si="15"/>
        <v>-2.0743146059193442E-2</v>
      </c>
      <c r="N99" s="184">
        <f t="shared" si="16"/>
        <v>-27</v>
      </c>
      <c r="O99" s="185">
        <f t="shared" si="17"/>
        <v>-5.7361376673040157E-2</v>
      </c>
    </row>
    <row r="100" spans="1:15" x14ac:dyDescent="0.55000000000000004">
      <c r="A100" s="197" t="s">
        <v>93</v>
      </c>
      <c r="B100" s="176">
        <f>INDEX(Data[FY2026 Budget Enrollment],MATCH(A100,Data[Label],0))</f>
        <v>975.1</v>
      </c>
      <c r="C100" s="177">
        <f>INDEX(Data[FY26 RPDC Per Student],MATCH(A100,Data[Label],0))</f>
        <v>8066</v>
      </c>
      <c r="D100" s="177">
        <f>INDEX(Data[FY2026 RPDC Total],MATCH(A100,Data[Label],0))</f>
        <v>7865157</v>
      </c>
      <c r="E100" s="177">
        <f>INDEX(Data[FY2026 RPDC Budget Guarantee],MATCH(A100,Data[Label],0))</f>
        <v>0</v>
      </c>
      <c r="F100" s="193">
        <f t="shared" si="9"/>
        <v>7865157</v>
      </c>
      <c r="G100" s="176">
        <f>INDEX(Data[FY2027 Budget Enrollment],MATCH(A100,Data[Label],0))</f>
        <v>913.7</v>
      </c>
      <c r="H100" s="177">
        <f t="shared" si="10"/>
        <v>8226</v>
      </c>
      <c r="I100" s="177">
        <f t="shared" si="11"/>
        <v>7516096.2000000002</v>
      </c>
      <c r="J100" s="177">
        <f t="shared" si="12"/>
        <v>427712</v>
      </c>
      <c r="K100" s="177">
        <f t="shared" si="13"/>
        <v>7943808.2000000002</v>
      </c>
      <c r="L100" s="177">
        <f t="shared" si="14"/>
        <v>78651.200000000186</v>
      </c>
      <c r="M100" s="178">
        <f t="shared" si="15"/>
        <v>9.9999529570738623E-3</v>
      </c>
      <c r="N100" s="179">
        <f t="shared" si="16"/>
        <v>-61.399999999999977</v>
      </c>
      <c r="O100" s="180">
        <f t="shared" si="17"/>
        <v>-6.2967900728130424E-2</v>
      </c>
    </row>
    <row r="101" spans="1:15" x14ac:dyDescent="0.55000000000000004">
      <c r="A101" s="198" t="s">
        <v>94</v>
      </c>
      <c r="B101" s="181">
        <f>INDEX(Data[FY2026 Budget Enrollment],MATCH(A101,Data[Label],0))</f>
        <v>573.79999999999995</v>
      </c>
      <c r="C101" s="182">
        <f>INDEX(Data[FY26 RPDC Per Student],MATCH(A101,Data[Label],0))</f>
        <v>7988</v>
      </c>
      <c r="D101" s="182">
        <f>INDEX(Data[FY2026 RPDC Total],MATCH(A101,Data[Label],0))</f>
        <v>4583514</v>
      </c>
      <c r="E101" s="182">
        <f>INDEX(Data[FY2026 RPDC Budget Guarantee],MATCH(A101,Data[Label],0))</f>
        <v>0</v>
      </c>
      <c r="F101" s="194">
        <f t="shared" si="9"/>
        <v>4583514</v>
      </c>
      <c r="G101" s="181">
        <f>INDEX(Data[FY2027 Budget Enrollment],MATCH(A101,Data[Label],0))</f>
        <v>573.4</v>
      </c>
      <c r="H101" s="182">
        <f t="shared" si="10"/>
        <v>8148</v>
      </c>
      <c r="I101" s="182">
        <f t="shared" si="11"/>
        <v>4672063.2</v>
      </c>
      <c r="J101" s="182">
        <f t="shared" si="12"/>
        <v>0</v>
      </c>
      <c r="K101" s="182">
        <f t="shared" si="13"/>
        <v>4672063.2</v>
      </c>
      <c r="L101" s="182">
        <f t="shared" si="14"/>
        <v>88549.200000000186</v>
      </c>
      <c r="M101" s="183">
        <f t="shared" si="15"/>
        <v>1.9319063932170859E-2</v>
      </c>
      <c r="N101" s="184">
        <f t="shared" si="16"/>
        <v>-0.39999999999997726</v>
      </c>
      <c r="O101" s="185">
        <f t="shared" si="17"/>
        <v>-6.9710700592536998E-4</v>
      </c>
    </row>
    <row r="102" spans="1:15" x14ac:dyDescent="0.55000000000000004">
      <c r="A102" s="197" t="s">
        <v>95</v>
      </c>
      <c r="B102" s="176">
        <f>INDEX(Data[FY2026 Budget Enrollment],MATCH(A102,Data[Label],0))</f>
        <v>509.2</v>
      </c>
      <c r="C102" s="177">
        <f>INDEX(Data[FY26 RPDC Per Student],MATCH(A102,Data[Label],0))</f>
        <v>7988</v>
      </c>
      <c r="D102" s="177">
        <f>INDEX(Data[FY2026 RPDC Total],MATCH(A102,Data[Label],0))</f>
        <v>4067490</v>
      </c>
      <c r="E102" s="177">
        <f>INDEX(Data[FY2026 RPDC Budget Guarantee],MATCH(A102,Data[Label],0))</f>
        <v>157337</v>
      </c>
      <c r="F102" s="193">
        <f t="shared" si="9"/>
        <v>4224827</v>
      </c>
      <c r="G102" s="176">
        <f>INDEX(Data[FY2027 Budget Enrollment],MATCH(A102,Data[Label],0))</f>
        <v>484.9</v>
      </c>
      <c r="H102" s="177">
        <f t="shared" si="10"/>
        <v>8148</v>
      </c>
      <c r="I102" s="177">
        <f t="shared" si="11"/>
        <v>3950965.1999999997</v>
      </c>
      <c r="J102" s="177">
        <f t="shared" si="12"/>
        <v>157200</v>
      </c>
      <c r="K102" s="177">
        <f t="shared" si="13"/>
        <v>4108165.1999999997</v>
      </c>
      <c r="L102" s="177">
        <f t="shared" si="14"/>
        <v>-116661.80000000028</v>
      </c>
      <c r="M102" s="178">
        <f t="shared" si="15"/>
        <v>-2.7613391033526408E-2</v>
      </c>
      <c r="N102" s="179">
        <f t="shared" si="16"/>
        <v>-24.300000000000011</v>
      </c>
      <c r="O102" s="180">
        <f t="shared" si="17"/>
        <v>-4.7721916732128854E-2</v>
      </c>
    </row>
    <row r="103" spans="1:15" x14ac:dyDescent="0.55000000000000004">
      <c r="A103" s="198" t="s">
        <v>96</v>
      </c>
      <c r="B103" s="181">
        <f>INDEX(Data[FY2026 Budget Enrollment],MATCH(A103,Data[Label],0))</f>
        <v>489.2</v>
      </c>
      <c r="C103" s="182">
        <f>INDEX(Data[FY26 RPDC Per Student],MATCH(A103,Data[Label],0))</f>
        <v>8032</v>
      </c>
      <c r="D103" s="182">
        <f>INDEX(Data[FY2026 RPDC Total],MATCH(A103,Data[Label],0))</f>
        <v>3929254</v>
      </c>
      <c r="E103" s="182">
        <f>INDEX(Data[FY2026 RPDC Budget Guarantee],MATCH(A103,Data[Label],0))</f>
        <v>139090</v>
      </c>
      <c r="F103" s="194">
        <f t="shared" si="9"/>
        <v>4068344</v>
      </c>
      <c r="G103" s="181">
        <f>INDEX(Data[FY2027 Budget Enrollment],MATCH(A103,Data[Label],0))</f>
        <v>486.2</v>
      </c>
      <c r="H103" s="182">
        <f t="shared" si="10"/>
        <v>8192</v>
      </c>
      <c r="I103" s="182">
        <f t="shared" si="11"/>
        <v>3982950.3999999999</v>
      </c>
      <c r="J103" s="182">
        <f t="shared" si="12"/>
        <v>0</v>
      </c>
      <c r="K103" s="182">
        <f t="shared" si="13"/>
        <v>3982950.3999999999</v>
      </c>
      <c r="L103" s="182">
        <f t="shared" si="14"/>
        <v>-85393.600000000093</v>
      </c>
      <c r="M103" s="183">
        <f t="shared" si="15"/>
        <v>-2.0989768810110474E-2</v>
      </c>
      <c r="N103" s="184">
        <f t="shared" si="16"/>
        <v>-3</v>
      </c>
      <c r="O103" s="185">
        <f t="shared" si="17"/>
        <v>-6.1324611610793136E-3</v>
      </c>
    </row>
    <row r="104" spans="1:15" x14ac:dyDescent="0.55000000000000004">
      <c r="A104" s="197" t="s">
        <v>97</v>
      </c>
      <c r="B104" s="176">
        <f>INDEX(Data[FY2026 Budget Enrollment],MATCH(A104,Data[Label],0))</f>
        <v>550</v>
      </c>
      <c r="C104" s="177">
        <f>INDEX(Data[FY26 RPDC Per Student],MATCH(A104,Data[Label],0))</f>
        <v>8012</v>
      </c>
      <c r="D104" s="177">
        <f>INDEX(Data[FY2026 RPDC Total],MATCH(A104,Data[Label],0))</f>
        <v>4406600</v>
      </c>
      <c r="E104" s="177">
        <f>INDEX(Data[FY2026 RPDC Budget Guarantee],MATCH(A104,Data[Label],0))</f>
        <v>0</v>
      </c>
      <c r="F104" s="193">
        <f t="shared" si="9"/>
        <v>4406600</v>
      </c>
      <c r="G104" s="176">
        <f>INDEX(Data[FY2027 Budget Enrollment],MATCH(A104,Data[Label],0))</f>
        <v>527</v>
      </c>
      <c r="H104" s="177">
        <f t="shared" si="10"/>
        <v>8172</v>
      </c>
      <c r="I104" s="177">
        <f t="shared" si="11"/>
        <v>4306644</v>
      </c>
      <c r="J104" s="177">
        <f t="shared" si="12"/>
        <v>144022</v>
      </c>
      <c r="K104" s="177">
        <f t="shared" si="13"/>
        <v>4450666</v>
      </c>
      <c r="L104" s="177">
        <f t="shared" si="14"/>
        <v>44066</v>
      </c>
      <c r="M104" s="178">
        <f t="shared" si="15"/>
        <v>0.01</v>
      </c>
      <c r="N104" s="179">
        <f t="shared" si="16"/>
        <v>-23</v>
      </c>
      <c r="O104" s="180">
        <f t="shared" si="17"/>
        <v>-4.1818181818181817E-2</v>
      </c>
    </row>
    <row r="105" spans="1:15" x14ac:dyDescent="0.55000000000000004">
      <c r="A105" s="198" t="s">
        <v>98</v>
      </c>
      <c r="B105" s="181">
        <f>INDEX(Data[FY2026 Budget Enrollment],MATCH(A105,Data[Label],0))</f>
        <v>807</v>
      </c>
      <c r="C105" s="182">
        <f>INDEX(Data[FY26 RPDC Per Student],MATCH(A105,Data[Label],0))</f>
        <v>7988</v>
      </c>
      <c r="D105" s="182">
        <f>INDEX(Data[FY2026 RPDC Total],MATCH(A105,Data[Label],0))</f>
        <v>6446316</v>
      </c>
      <c r="E105" s="182">
        <f>INDEX(Data[FY2026 RPDC Budget Guarantee],MATCH(A105,Data[Label],0))</f>
        <v>228041</v>
      </c>
      <c r="F105" s="194">
        <f t="shared" si="9"/>
        <v>6674357</v>
      </c>
      <c r="G105" s="181">
        <f>INDEX(Data[FY2027 Budget Enrollment],MATCH(A105,Data[Label],0))</f>
        <v>787.1</v>
      </c>
      <c r="H105" s="182">
        <f t="shared" si="10"/>
        <v>8148</v>
      </c>
      <c r="I105" s="182">
        <f t="shared" si="11"/>
        <v>6413290.7999999998</v>
      </c>
      <c r="J105" s="182">
        <f t="shared" si="12"/>
        <v>97488</v>
      </c>
      <c r="K105" s="182">
        <f t="shared" si="13"/>
        <v>6510778.7999999998</v>
      </c>
      <c r="L105" s="182">
        <f t="shared" si="14"/>
        <v>-163578.20000000019</v>
      </c>
      <c r="M105" s="183">
        <f t="shared" si="15"/>
        <v>-2.4508458267965019E-2</v>
      </c>
      <c r="N105" s="184">
        <f t="shared" si="16"/>
        <v>-19.899999999999977</v>
      </c>
      <c r="O105" s="185">
        <f t="shared" si="17"/>
        <v>-2.4659231722428721E-2</v>
      </c>
    </row>
    <row r="106" spans="1:15" x14ac:dyDescent="0.55000000000000004">
      <c r="A106" s="197" t="s">
        <v>99</v>
      </c>
      <c r="B106" s="176">
        <f>INDEX(Data[FY2026 Budget Enrollment],MATCH(A106,Data[Label],0))</f>
        <v>449</v>
      </c>
      <c r="C106" s="177">
        <f>INDEX(Data[FY26 RPDC Per Student],MATCH(A106,Data[Label],0))</f>
        <v>7988</v>
      </c>
      <c r="D106" s="177">
        <f>INDEX(Data[FY2026 RPDC Total],MATCH(A106,Data[Label],0))</f>
        <v>3586612</v>
      </c>
      <c r="E106" s="177">
        <f>INDEX(Data[FY2026 RPDC Budget Guarantee],MATCH(A106,Data[Label],0))</f>
        <v>0</v>
      </c>
      <c r="F106" s="193">
        <f t="shared" si="9"/>
        <v>3586612</v>
      </c>
      <c r="G106" s="176">
        <f>INDEX(Data[FY2027 Budget Enrollment],MATCH(A106,Data[Label],0))</f>
        <v>444.8</v>
      </c>
      <c r="H106" s="177">
        <f t="shared" si="10"/>
        <v>8148</v>
      </c>
      <c r="I106" s="177">
        <f t="shared" si="11"/>
        <v>3624230.4</v>
      </c>
      <c r="J106" s="177">
        <f t="shared" si="12"/>
        <v>0</v>
      </c>
      <c r="K106" s="177">
        <f t="shared" si="13"/>
        <v>3624230.4</v>
      </c>
      <c r="L106" s="177">
        <f t="shared" si="14"/>
        <v>37618.399999999907</v>
      </c>
      <c r="M106" s="178">
        <f t="shared" si="15"/>
        <v>1.0488561349819804E-2</v>
      </c>
      <c r="N106" s="179">
        <f t="shared" si="16"/>
        <v>-4.1999999999999886</v>
      </c>
      <c r="O106" s="180">
        <f t="shared" si="17"/>
        <v>-9.3541202672605545E-3</v>
      </c>
    </row>
    <row r="107" spans="1:15" x14ac:dyDescent="0.55000000000000004">
      <c r="A107" s="198" t="s">
        <v>100</v>
      </c>
      <c r="B107" s="181">
        <f>INDEX(Data[FY2026 Budget Enrollment],MATCH(A107,Data[Label],0))</f>
        <v>307</v>
      </c>
      <c r="C107" s="182">
        <f>INDEX(Data[FY26 RPDC Per Student],MATCH(A107,Data[Label],0))</f>
        <v>7988</v>
      </c>
      <c r="D107" s="182">
        <f>INDEX(Data[FY2026 RPDC Total],MATCH(A107,Data[Label],0))</f>
        <v>2452316</v>
      </c>
      <c r="E107" s="182">
        <f>INDEX(Data[FY2026 RPDC Budget Guarantee],MATCH(A107,Data[Label],0))</f>
        <v>0</v>
      </c>
      <c r="F107" s="194">
        <f t="shared" si="9"/>
        <v>2452316</v>
      </c>
      <c r="G107" s="181">
        <f>INDEX(Data[FY2027 Budget Enrollment],MATCH(A107,Data[Label],0))</f>
        <v>305</v>
      </c>
      <c r="H107" s="182">
        <f t="shared" si="10"/>
        <v>8148</v>
      </c>
      <c r="I107" s="182">
        <f t="shared" si="11"/>
        <v>2485140</v>
      </c>
      <c r="J107" s="182">
        <f t="shared" si="12"/>
        <v>0</v>
      </c>
      <c r="K107" s="182">
        <f t="shared" si="13"/>
        <v>2485140</v>
      </c>
      <c r="L107" s="182">
        <f t="shared" si="14"/>
        <v>32824</v>
      </c>
      <c r="M107" s="183">
        <f t="shared" si="15"/>
        <v>1.3384898194196833E-2</v>
      </c>
      <c r="N107" s="184">
        <f t="shared" si="16"/>
        <v>-2</v>
      </c>
      <c r="O107" s="185">
        <f t="shared" si="17"/>
        <v>-6.5146579804560263E-3</v>
      </c>
    </row>
    <row r="108" spans="1:15" x14ac:dyDescent="0.55000000000000004">
      <c r="A108" s="197" t="s">
        <v>101</v>
      </c>
      <c r="B108" s="176">
        <f>INDEX(Data[FY2026 Budget Enrollment],MATCH(A108,Data[Label],0))</f>
        <v>531.6</v>
      </c>
      <c r="C108" s="177">
        <f>INDEX(Data[FY26 RPDC Per Student],MATCH(A108,Data[Label],0))</f>
        <v>7988</v>
      </c>
      <c r="D108" s="177">
        <f>INDEX(Data[FY2026 RPDC Total],MATCH(A108,Data[Label],0))</f>
        <v>4246421</v>
      </c>
      <c r="E108" s="177">
        <f>INDEX(Data[FY2026 RPDC Budget Guarantee],MATCH(A108,Data[Label],0))</f>
        <v>134911</v>
      </c>
      <c r="F108" s="193">
        <f t="shared" si="9"/>
        <v>4381332</v>
      </c>
      <c r="G108" s="176">
        <f>INDEX(Data[FY2027 Budget Enrollment],MATCH(A108,Data[Label],0))</f>
        <v>519.1</v>
      </c>
      <c r="H108" s="177">
        <f t="shared" si="10"/>
        <v>8148</v>
      </c>
      <c r="I108" s="177">
        <f t="shared" si="11"/>
        <v>4229626.8</v>
      </c>
      <c r="J108" s="177">
        <f t="shared" si="12"/>
        <v>59258</v>
      </c>
      <c r="K108" s="177">
        <f t="shared" si="13"/>
        <v>4288884.8</v>
      </c>
      <c r="L108" s="177">
        <f t="shared" si="14"/>
        <v>-92447.200000000186</v>
      </c>
      <c r="M108" s="178">
        <f t="shared" si="15"/>
        <v>-2.1100249878347542E-2</v>
      </c>
      <c r="N108" s="179">
        <f t="shared" si="16"/>
        <v>-12.5</v>
      </c>
      <c r="O108" s="180">
        <f t="shared" si="17"/>
        <v>-2.3513920240782544E-2</v>
      </c>
    </row>
    <row r="109" spans="1:15" x14ac:dyDescent="0.55000000000000004">
      <c r="A109" s="198" t="s">
        <v>102</v>
      </c>
      <c r="B109" s="181">
        <f>INDEX(Data[FY2026 Budget Enrollment],MATCH(A109,Data[Label],0))</f>
        <v>789.1</v>
      </c>
      <c r="C109" s="182">
        <f>INDEX(Data[FY26 RPDC Per Student],MATCH(A109,Data[Label],0))</f>
        <v>7988</v>
      </c>
      <c r="D109" s="182">
        <f>INDEX(Data[FY2026 RPDC Total],MATCH(A109,Data[Label],0))</f>
        <v>6303331</v>
      </c>
      <c r="E109" s="182">
        <f>INDEX(Data[FY2026 RPDC Budget Guarantee],MATCH(A109,Data[Label],0))</f>
        <v>0</v>
      </c>
      <c r="F109" s="194">
        <f t="shared" si="9"/>
        <v>6303331</v>
      </c>
      <c r="G109" s="181">
        <f>INDEX(Data[FY2027 Budget Enrollment],MATCH(A109,Data[Label],0))</f>
        <v>786.2</v>
      </c>
      <c r="H109" s="182">
        <f t="shared" si="10"/>
        <v>8148</v>
      </c>
      <c r="I109" s="182">
        <f t="shared" si="11"/>
        <v>6405957.6000000006</v>
      </c>
      <c r="J109" s="182">
        <f t="shared" si="12"/>
        <v>0</v>
      </c>
      <c r="K109" s="182">
        <f t="shared" si="13"/>
        <v>6405957.6000000006</v>
      </c>
      <c r="L109" s="182">
        <f t="shared" si="14"/>
        <v>102626.60000000056</v>
      </c>
      <c r="M109" s="183">
        <f t="shared" si="15"/>
        <v>1.6281328078757179E-2</v>
      </c>
      <c r="N109" s="184">
        <f t="shared" si="16"/>
        <v>-2.8999999999999773</v>
      </c>
      <c r="O109" s="185">
        <f t="shared" si="17"/>
        <v>-3.6750728678240745E-3</v>
      </c>
    </row>
    <row r="110" spans="1:15" x14ac:dyDescent="0.55000000000000004">
      <c r="A110" s="197" t="s">
        <v>103</v>
      </c>
      <c r="B110" s="176">
        <f>INDEX(Data[FY2026 Budget Enrollment],MATCH(A110,Data[Label],0))</f>
        <v>378</v>
      </c>
      <c r="C110" s="177">
        <f>INDEX(Data[FY26 RPDC Per Student],MATCH(A110,Data[Label],0))</f>
        <v>7988</v>
      </c>
      <c r="D110" s="177">
        <f>INDEX(Data[FY2026 RPDC Total],MATCH(A110,Data[Label],0))</f>
        <v>3019464</v>
      </c>
      <c r="E110" s="177">
        <f>INDEX(Data[FY2026 RPDC Budget Guarantee],MATCH(A110,Data[Label],0))</f>
        <v>79006</v>
      </c>
      <c r="F110" s="193">
        <f t="shared" si="9"/>
        <v>3098470</v>
      </c>
      <c r="G110" s="176">
        <f>INDEX(Data[FY2027 Budget Enrollment],MATCH(A110,Data[Label],0))</f>
        <v>382</v>
      </c>
      <c r="H110" s="177">
        <f t="shared" si="10"/>
        <v>8148</v>
      </c>
      <c r="I110" s="177">
        <f t="shared" si="11"/>
        <v>3112536</v>
      </c>
      <c r="J110" s="177">
        <f t="shared" si="12"/>
        <v>0</v>
      </c>
      <c r="K110" s="177">
        <f t="shared" si="13"/>
        <v>3112536</v>
      </c>
      <c r="L110" s="177">
        <f t="shared" si="14"/>
        <v>14066</v>
      </c>
      <c r="M110" s="178">
        <f t="shared" si="15"/>
        <v>4.5396598966586732E-3</v>
      </c>
      <c r="N110" s="179">
        <f t="shared" si="16"/>
        <v>4</v>
      </c>
      <c r="O110" s="180">
        <f t="shared" si="17"/>
        <v>1.0582010582010581E-2</v>
      </c>
    </row>
    <row r="111" spans="1:15" x14ac:dyDescent="0.55000000000000004">
      <c r="A111" s="198" t="s">
        <v>104</v>
      </c>
      <c r="B111" s="181">
        <f>INDEX(Data[FY2026 Budget Enrollment],MATCH(A111,Data[Label],0))</f>
        <v>528.79999999999995</v>
      </c>
      <c r="C111" s="182">
        <f>INDEX(Data[FY26 RPDC Per Student],MATCH(A111,Data[Label],0))</f>
        <v>7988</v>
      </c>
      <c r="D111" s="182">
        <f>INDEX(Data[FY2026 RPDC Total],MATCH(A111,Data[Label],0))</f>
        <v>4224054</v>
      </c>
      <c r="E111" s="182">
        <f>INDEX(Data[FY2026 RPDC Budget Guarantee],MATCH(A111,Data[Label],0))</f>
        <v>50570</v>
      </c>
      <c r="F111" s="194">
        <f t="shared" si="9"/>
        <v>4274624</v>
      </c>
      <c r="G111" s="181">
        <f>INDEX(Data[FY2027 Budget Enrollment],MATCH(A111,Data[Label],0))</f>
        <v>515.70000000000005</v>
      </c>
      <c r="H111" s="182">
        <f t="shared" si="10"/>
        <v>8148</v>
      </c>
      <c r="I111" s="182">
        <f t="shared" si="11"/>
        <v>4201923.6000000006</v>
      </c>
      <c r="J111" s="182">
        <f t="shared" si="12"/>
        <v>64371</v>
      </c>
      <c r="K111" s="182">
        <f t="shared" si="13"/>
        <v>4266294.6000000006</v>
      </c>
      <c r="L111" s="182">
        <f t="shared" si="14"/>
        <v>-8329.3999999994412</v>
      </c>
      <c r="M111" s="183">
        <f t="shared" si="15"/>
        <v>-1.9485690437333065E-3</v>
      </c>
      <c r="N111" s="184">
        <f t="shared" si="16"/>
        <v>-13.099999999999909</v>
      </c>
      <c r="O111" s="185">
        <f t="shared" si="17"/>
        <v>-2.4773071104387121E-2</v>
      </c>
    </row>
    <row r="112" spans="1:15" x14ac:dyDescent="0.55000000000000004">
      <c r="A112" s="197" t="s">
        <v>105</v>
      </c>
      <c r="B112" s="176">
        <f>INDEX(Data[FY2026 Budget Enrollment],MATCH(A112,Data[Label],0))</f>
        <v>603.6</v>
      </c>
      <c r="C112" s="177">
        <f>INDEX(Data[FY26 RPDC Per Student],MATCH(A112,Data[Label],0))</f>
        <v>8071</v>
      </c>
      <c r="D112" s="177">
        <f>INDEX(Data[FY2026 RPDC Total],MATCH(A112,Data[Label],0))</f>
        <v>4871656</v>
      </c>
      <c r="E112" s="177">
        <f>INDEX(Data[FY2026 RPDC Budget Guarantee],MATCH(A112,Data[Label],0))</f>
        <v>262338</v>
      </c>
      <c r="F112" s="193">
        <f t="shared" si="9"/>
        <v>5133994</v>
      </c>
      <c r="G112" s="176">
        <f>INDEX(Data[FY2027 Budget Enrollment],MATCH(A112,Data[Label],0))</f>
        <v>584.70000000000005</v>
      </c>
      <c r="H112" s="177">
        <f t="shared" si="10"/>
        <v>8231</v>
      </c>
      <c r="I112" s="177">
        <f t="shared" si="11"/>
        <v>4812665.7</v>
      </c>
      <c r="J112" s="177">
        <f t="shared" si="12"/>
        <v>107707</v>
      </c>
      <c r="K112" s="177">
        <f t="shared" si="13"/>
        <v>4920372.7</v>
      </c>
      <c r="L112" s="177">
        <f t="shared" si="14"/>
        <v>-213621.29999999981</v>
      </c>
      <c r="M112" s="178">
        <f t="shared" si="15"/>
        <v>-4.1609183805045316E-2</v>
      </c>
      <c r="N112" s="179">
        <f t="shared" si="16"/>
        <v>-18.899999999999977</v>
      </c>
      <c r="O112" s="180">
        <f t="shared" si="17"/>
        <v>-3.131212723658048E-2</v>
      </c>
    </row>
    <row r="113" spans="1:15" x14ac:dyDescent="0.55000000000000004">
      <c r="A113" s="198" t="s">
        <v>106</v>
      </c>
      <c r="B113" s="181">
        <f>INDEX(Data[FY2026 Budget Enrollment],MATCH(A113,Data[Label],0))</f>
        <v>443.4</v>
      </c>
      <c r="C113" s="182">
        <f>INDEX(Data[FY26 RPDC Per Student],MATCH(A113,Data[Label],0))</f>
        <v>8021</v>
      </c>
      <c r="D113" s="182">
        <f>INDEX(Data[FY2026 RPDC Total],MATCH(A113,Data[Label],0))</f>
        <v>3556511</v>
      </c>
      <c r="E113" s="182">
        <f>INDEX(Data[FY2026 RPDC Budget Guarantee],MATCH(A113,Data[Label],0))</f>
        <v>12912</v>
      </c>
      <c r="F113" s="194">
        <f t="shared" si="9"/>
        <v>3569423</v>
      </c>
      <c r="G113" s="181">
        <f>INDEX(Data[FY2027 Budget Enrollment],MATCH(A113,Data[Label],0))</f>
        <v>440.5</v>
      </c>
      <c r="H113" s="182">
        <f t="shared" si="10"/>
        <v>8181</v>
      </c>
      <c r="I113" s="182">
        <f t="shared" si="11"/>
        <v>3603730.5</v>
      </c>
      <c r="J113" s="182">
        <f t="shared" si="12"/>
        <v>0</v>
      </c>
      <c r="K113" s="182">
        <f t="shared" si="13"/>
        <v>3603730.5</v>
      </c>
      <c r="L113" s="182">
        <f t="shared" si="14"/>
        <v>34307.5</v>
      </c>
      <c r="M113" s="183">
        <f t="shared" si="15"/>
        <v>9.6114974324981936E-3</v>
      </c>
      <c r="N113" s="184">
        <f t="shared" si="16"/>
        <v>-2.8999999999999773</v>
      </c>
      <c r="O113" s="185">
        <f t="shared" si="17"/>
        <v>-6.540369869192552E-3</v>
      </c>
    </row>
    <row r="114" spans="1:15" x14ac:dyDescent="0.55000000000000004">
      <c r="A114" s="197" t="s">
        <v>107</v>
      </c>
      <c r="B114" s="176">
        <f>INDEX(Data[FY2026 Budget Enrollment],MATCH(A114,Data[Label],0))</f>
        <v>163</v>
      </c>
      <c r="C114" s="177">
        <f>INDEX(Data[FY26 RPDC Per Student],MATCH(A114,Data[Label],0))</f>
        <v>7988</v>
      </c>
      <c r="D114" s="177">
        <f>INDEX(Data[FY2026 RPDC Total],MATCH(A114,Data[Label],0))</f>
        <v>1302044</v>
      </c>
      <c r="E114" s="177">
        <f>INDEX(Data[FY2026 RPDC Budget Guarantee],MATCH(A114,Data[Label],0))</f>
        <v>90686</v>
      </c>
      <c r="F114" s="193">
        <f t="shared" si="9"/>
        <v>1392730</v>
      </c>
      <c r="G114" s="176">
        <f>INDEX(Data[FY2027 Budget Enrollment],MATCH(A114,Data[Label],0))</f>
        <v>178.1</v>
      </c>
      <c r="H114" s="177">
        <f t="shared" si="10"/>
        <v>8148</v>
      </c>
      <c r="I114" s="177">
        <f t="shared" si="11"/>
        <v>1451158.8</v>
      </c>
      <c r="J114" s="177">
        <f t="shared" si="12"/>
        <v>0</v>
      </c>
      <c r="K114" s="177">
        <f t="shared" si="13"/>
        <v>1451158.8</v>
      </c>
      <c r="L114" s="177">
        <f t="shared" si="14"/>
        <v>58428.800000000047</v>
      </c>
      <c r="M114" s="178">
        <f t="shared" si="15"/>
        <v>4.195271158085203E-2</v>
      </c>
      <c r="N114" s="179">
        <f t="shared" si="16"/>
        <v>15.099999999999994</v>
      </c>
      <c r="O114" s="180">
        <f t="shared" si="17"/>
        <v>9.2638036809815916E-2</v>
      </c>
    </row>
    <row r="115" spans="1:15" x14ac:dyDescent="0.55000000000000004">
      <c r="A115" s="198" t="s">
        <v>108</v>
      </c>
      <c r="B115" s="181">
        <f>INDEX(Data[FY2026 Budget Enrollment],MATCH(A115,Data[Label],0))</f>
        <v>1147.7</v>
      </c>
      <c r="C115" s="182">
        <f>INDEX(Data[FY26 RPDC Per Student],MATCH(A115,Data[Label],0))</f>
        <v>7988</v>
      </c>
      <c r="D115" s="182">
        <f>INDEX(Data[FY2026 RPDC Total],MATCH(A115,Data[Label],0))</f>
        <v>9167828</v>
      </c>
      <c r="E115" s="182">
        <f>INDEX(Data[FY2026 RPDC Budget Guarantee],MATCH(A115,Data[Label],0))</f>
        <v>65139</v>
      </c>
      <c r="F115" s="194">
        <f t="shared" si="9"/>
        <v>9232967</v>
      </c>
      <c r="G115" s="181">
        <f>INDEX(Data[FY2027 Budget Enrollment],MATCH(A115,Data[Label],0))</f>
        <v>1151.3</v>
      </c>
      <c r="H115" s="182">
        <f t="shared" si="10"/>
        <v>8148</v>
      </c>
      <c r="I115" s="182">
        <f t="shared" si="11"/>
        <v>9380792.4000000004</v>
      </c>
      <c r="J115" s="182">
        <f t="shared" si="12"/>
        <v>0</v>
      </c>
      <c r="K115" s="182">
        <f t="shared" si="13"/>
        <v>9380792.4000000004</v>
      </c>
      <c r="L115" s="182">
        <f t="shared" si="14"/>
        <v>147825.40000000037</v>
      </c>
      <c r="M115" s="183">
        <f t="shared" si="15"/>
        <v>1.6010606341385208E-2</v>
      </c>
      <c r="N115" s="184">
        <f t="shared" si="16"/>
        <v>3.5999999999999091</v>
      </c>
      <c r="O115" s="185">
        <f t="shared" si="17"/>
        <v>3.1367081990066295E-3</v>
      </c>
    </row>
    <row r="116" spans="1:15" x14ac:dyDescent="0.55000000000000004">
      <c r="A116" s="197" t="s">
        <v>109</v>
      </c>
      <c r="B116" s="176">
        <f>INDEX(Data[FY2026 Budget Enrollment],MATCH(A116,Data[Label],0))</f>
        <v>423.5</v>
      </c>
      <c r="C116" s="177">
        <f>INDEX(Data[FY26 RPDC Per Student],MATCH(A116,Data[Label],0))</f>
        <v>8032</v>
      </c>
      <c r="D116" s="177">
        <f>INDEX(Data[FY2026 RPDC Total],MATCH(A116,Data[Label],0))</f>
        <v>3401552</v>
      </c>
      <c r="E116" s="177">
        <f>INDEX(Data[FY2026 RPDC Budget Guarantee],MATCH(A116,Data[Label],0))</f>
        <v>0</v>
      </c>
      <c r="F116" s="193">
        <f t="shared" si="9"/>
        <v>3401552</v>
      </c>
      <c r="G116" s="176">
        <f>INDEX(Data[FY2027 Budget Enrollment],MATCH(A116,Data[Label],0))</f>
        <v>400.8</v>
      </c>
      <c r="H116" s="177">
        <f t="shared" si="10"/>
        <v>8192</v>
      </c>
      <c r="I116" s="177">
        <f t="shared" si="11"/>
        <v>3283353.6000000001</v>
      </c>
      <c r="J116" s="177">
        <f t="shared" si="12"/>
        <v>152214</v>
      </c>
      <c r="K116" s="177">
        <f t="shared" si="13"/>
        <v>3435567.6</v>
      </c>
      <c r="L116" s="177">
        <f t="shared" si="14"/>
        <v>34015.600000000093</v>
      </c>
      <c r="M116" s="178">
        <f t="shared" si="15"/>
        <v>1.0000023518676208E-2</v>
      </c>
      <c r="N116" s="179">
        <f t="shared" si="16"/>
        <v>-22.699999999999989</v>
      </c>
      <c r="O116" s="180">
        <f t="shared" si="17"/>
        <v>-5.3600944510035393E-2</v>
      </c>
    </row>
    <row r="117" spans="1:15" x14ac:dyDescent="0.55000000000000004">
      <c r="A117" s="198" t="s">
        <v>110</v>
      </c>
      <c r="B117" s="181">
        <f>INDEX(Data[FY2026 Budget Enrollment],MATCH(A117,Data[Label],0))</f>
        <v>1479.7</v>
      </c>
      <c r="C117" s="182">
        <f>INDEX(Data[FY26 RPDC Per Student],MATCH(A117,Data[Label],0))</f>
        <v>7988</v>
      </c>
      <c r="D117" s="182">
        <f>INDEX(Data[FY2026 RPDC Total],MATCH(A117,Data[Label],0))</f>
        <v>11819844</v>
      </c>
      <c r="E117" s="182">
        <f>INDEX(Data[FY2026 RPDC Budget Guarantee],MATCH(A117,Data[Label],0))</f>
        <v>240476</v>
      </c>
      <c r="F117" s="194">
        <f t="shared" si="9"/>
        <v>12060320</v>
      </c>
      <c r="G117" s="181">
        <f>INDEX(Data[FY2027 Budget Enrollment],MATCH(A117,Data[Label],0))</f>
        <v>1484</v>
      </c>
      <c r="H117" s="182">
        <f t="shared" si="10"/>
        <v>8148</v>
      </c>
      <c r="I117" s="182">
        <f t="shared" si="11"/>
        <v>12091632</v>
      </c>
      <c r="J117" s="182">
        <f t="shared" si="12"/>
        <v>0</v>
      </c>
      <c r="K117" s="182">
        <f t="shared" si="13"/>
        <v>12091632</v>
      </c>
      <c r="L117" s="182">
        <f t="shared" si="14"/>
        <v>31312</v>
      </c>
      <c r="M117" s="183">
        <f t="shared" si="15"/>
        <v>2.596282685699882E-3</v>
      </c>
      <c r="N117" s="184">
        <f t="shared" si="16"/>
        <v>4.2999999999999545</v>
      </c>
      <c r="O117" s="185">
        <f t="shared" si="17"/>
        <v>2.9059944583361185E-3</v>
      </c>
    </row>
    <row r="118" spans="1:15" x14ac:dyDescent="0.55000000000000004">
      <c r="A118" s="197" t="s">
        <v>111</v>
      </c>
      <c r="B118" s="176">
        <f>INDEX(Data[FY2026 Budget Enrollment],MATCH(A118,Data[Label],0))</f>
        <v>1018.8</v>
      </c>
      <c r="C118" s="177">
        <f>INDEX(Data[FY26 RPDC Per Student],MATCH(A118,Data[Label],0))</f>
        <v>7988</v>
      </c>
      <c r="D118" s="177">
        <f>INDEX(Data[FY2026 RPDC Total],MATCH(A118,Data[Label],0))</f>
        <v>8138174</v>
      </c>
      <c r="E118" s="177">
        <f>INDEX(Data[FY2026 RPDC Budget Guarantee],MATCH(A118,Data[Label],0))</f>
        <v>206353</v>
      </c>
      <c r="F118" s="193">
        <f t="shared" si="9"/>
        <v>8344527</v>
      </c>
      <c r="G118" s="176">
        <f>INDEX(Data[FY2027 Budget Enrollment],MATCH(A118,Data[Label],0))</f>
        <v>1055.2</v>
      </c>
      <c r="H118" s="177">
        <f t="shared" si="10"/>
        <v>8148</v>
      </c>
      <c r="I118" s="177">
        <f t="shared" si="11"/>
        <v>8597769.5999999996</v>
      </c>
      <c r="J118" s="177">
        <f t="shared" si="12"/>
        <v>0</v>
      </c>
      <c r="K118" s="177">
        <f t="shared" si="13"/>
        <v>8597769.5999999996</v>
      </c>
      <c r="L118" s="177">
        <f t="shared" si="14"/>
        <v>253242.59999999963</v>
      </c>
      <c r="M118" s="178">
        <f t="shared" si="15"/>
        <v>3.0348346886528096E-2</v>
      </c>
      <c r="N118" s="179">
        <f t="shared" si="16"/>
        <v>36.400000000000091</v>
      </c>
      <c r="O118" s="180">
        <f t="shared" si="17"/>
        <v>3.5728307813113556E-2</v>
      </c>
    </row>
    <row r="119" spans="1:15" x14ac:dyDescent="0.55000000000000004">
      <c r="A119" s="198" t="s">
        <v>112</v>
      </c>
      <c r="B119" s="181">
        <f>INDEX(Data[FY2026 Budget Enrollment],MATCH(A119,Data[Label],0))</f>
        <v>3422.9</v>
      </c>
      <c r="C119" s="182">
        <f>INDEX(Data[FY26 RPDC Per Student],MATCH(A119,Data[Label],0))</f>
        <v>7988</v>
      </c>
      <c r="D119" s="182">
        <f>INDEX(Data[FY2026 RPDC Total],MATCH(A119,Data[Label],0))</f>
        <v>27342125</v>
      </c>
      <c r="E119" s="182">
        <f>INDEX(Data[FY2026 RPDC Budget Guarantee],MATCH(A119,Data[Label],0))</f>
        <v>495098</v>
      </c>
      <c r="F119" s="194">
        <f t="shared" si="9"/>
        <v>27837223</v>
      </c>
      <c r="G119" s="181">
        <f>INDEX(Data[FY2027 Budget Enrollment],MATCH(A119,Data[Label],0))</f>
        <v>3331.3</v>
      </c>
      <c r="H119" s="182">
        <f t="shared" si="10"/>
        <v>8148</v>
      </c>
      <c r="I119" s="182">
        <f t="shared" si="11"/>
        <v>27143432.400000002</v>
      </c>
      <c r="J119" s="182">
        <f t="shared" si="12"/>
        <v>472114</v>
      </c>
      <c r="K119" s="182">
        <f t="shared" si="13"/>
        <v>27615546.400000002</v>
      </c>
      <c r="L119" s="182">
        <f t="shared" si="14"/>
        <v>-221676.59999999776</v>
      </c>
      <c r="M119" s="183">
        <f t="shared" si="15"/>
        <v>-7.9633158810416462E-3</v>
      </c>
      <c r="N119" s="184">
        <f t="shared" si="16"/>
        <v>-91.599999999999909</v>
      </c>
      <c r="O119" s="185">
        <f t="shared" si="17"/>
        <v>-2.6760933711180549E-2</v>
      </c>
    </row>
    <row r="120" spans="1:15" x14ac:dyDescent="0.55000000000000004">
      <c r="A120" s="197" t="s">
        <v>113</v>
      </c>
      <c r="B120" s="176">
        <f>INDEX(Data[FY2026 Budget Enrollment],MATCH(A120,Data[Label],0))</f>
        <v>2080.5</v>
      </c>
      <c r="C120" s="177">
        <f>INDEX(Data[FY26 RPDC Per Student],MATCH(A120,Data[Label],0))</f>
        <v>7988</v>
      </c>
      <c r="D120" s="177">
        <f>INDEX(Data[FY2026 RPDC Total],MATCH(A120,Data[Label],0))</f>
        <v>16619034</v>
      </c>
      <c r="E120" s="177">
        <f>INDEX(Data[FY2026 RPDC Budget Guarantee],MATCH(A120,Data[Label],0))</f>
        <v>0</v>
      </c>
      <c r="F120" s="193">
        <f t="shared" si="9"/>
        <v>16619034</v>
      </c>
      <c r="G120" s="176">
        <f>INDEX(Data[FY2027 Budget Enrollment],MATCH(A120,Data[Label],0))</f>
        <v>2038.6</v>
      </c>
      <c r="H120" s="177">
        <f t="shared" si="10"/>
        <v>8148</v>
      </c>
      <c r="I120" s="177">
        <f t="shared" si="11"/>
        <v>16610512.799999999</v>
      </c>
      <c r="J120" s="177">
        <f t="shared" si="12"/>
        <v>174712</v>
      </c>
      <c r="K120" s="177">
        <f t="shared" si="13"/>
        <v>16785224.799999997</v>
      </c>
      <c r="L120" s="177">
        <f t="shared" si="14"/>
        <v>166190.79999999702</v>
      </c>
      <c r="M120" s="178">
        <f t="shared" si="15"/>
        <v>1.0000027679105598E-2</v>
      </c>
      <c r="N120" s="179">
        <f t="shared" si="16"/>
        <v>-41.900000000000091</v>
      </c>
      <c r="O120" s="180">
        <f t="shared" si="17"/>
        <v>-2.0139389569814991E-2</v>
      </c>
    </row>
    <row r="121" spans="1:15" x14ac:dyDescent="0.55000000000000004">
      <c r="A121" s="198" t="s">
        <v>114</v>
      </c>
      <c r="B121" s="181">
        <f>INDEX(Data[FY2026 Budget Enrollment],MATCH(A121,Data[Label],0))</f>
        <v>440</v>
      </c>
      <c r="C121" s="182">
        <f>INDEX(Data[FY26 RPDC Per Student],MATCH(A121,Data[Label],0))</f>
        <v>7988</v>
      </c>
      <c r="D121" s="182">
        <f>INDEX(Data[FY2026 RPDC Total],MATCH(A121,Data[Label],0))</f>
        <v>3514720</v>
      </c>
      <c r="E121" s="182">
        <f>INDEX(Data[FY2026 RPDC Budget Guarantee],MATCH(A121,Data[Label],0))</f>
        <v>3467</v>
      </c>
      <c r="F121" s="194">
        <f t="shared" si="9"/>
        <v>3518187</v>
      </c>
      <c r="G121" s="181">
        <f>INDEX(Data[FY2027 Budget Enrollment],MATCH(A121,Data[Label],0))</f>
        <v>437</v>
      </c>
      <c r="H121" s="182">
        <f t="shared" si="10"/>
        <v>8148</v>
      </c>
      <c r="I121" s="182">
        <f t="shared" si="11"/>
        <v>3560676</v>
      </c>
      <c r="J121" s="182">
        <f t="shared" si="12"/>
        <v>0</v>
      </c>
      <c r="K121" s="182">
        <f t="shared" si="13"/>
        <v>3560676</v>
      </c>
      <c r="L121" s="182">
        <f t="shared" si="14"/>
        <v>42489</v>
      </c>
      <c r="M121" s="183">
        <f t="shared" si="15"/>
        <v>1.2076958956417042E-2</v>
      </c>
      <c r="N121" s="184">
        <f t="shared" si="16"/>
        <v>-3</v>
      </c>
      <c r="O121" s="185">
        <f t="shared" si="17"/>
        <v>-6.8181818181818179E-3</v>
      </c>
    </row>
    <row r="122" spans="1:15" x14ac:dyDescent="0.55000000000000004">
      <c r="A122" s="197" t="s">
        <v>115</v>
      </c>
      <c r="B122" s="176">
        <f>INDEX(Data[FY2026 Budget Enrollment],MATCH(A122,Data[Label],0))</f>
        <v>249.3</v>
      </c>
      <c r="C122" s="177">
        <f>INDEX(Data[FY26 RPDC Per Student],MATCH(A122,Data[Label],0))</f>
        <v>7988</v>
      </c>
      <c r="D122" s="177">
        <f>INDEX(Data[FY2026 RPDC Total],MATCH(A122,Data[Label],0))</f>
        <v>1991408</v>
      </c>
      <c r="E122" s="177">
        <f>INDEX(Data[FY2026 RPDC Budget Guarantee],MATCH(A122,Data[Label],0))</f>
        <v>0</v>
      </c>
      <c r="F122" s="193">
        <f t="shared" si="9"/>
        <v>1991408</v>
      </c>
      <c r="G122" s="176">
        <f>INDEX(Data[FY2027 Budget Enrollment],MATCH(A122,Data[Label],0))</f>
        <v>230.1</v>
      </c>
      <c r="H122" s="177">
        <f t="shared" si="10"/>
        <v>8148</v>
      </c>
      <c r="I122" s="177">
        <f t="shared" si="11"/>
        <v>1874854.8</v>
      </c>
      <c r="J122" s="177">
        <f t="shared" si="12"/>
        <v>136467</v>
      </c>
      <c r="K122" s="177">
        <f t="shared" si="13"/>
        <v>2011321.8</v>
      </c>
      <c r="L122" s="177">
        <f t="shared" si="14"/>
        <v>19913.800000000047</v>
      </c>
      <c r="M122" s="178">
        <f t="shared" si="15"/>
        <v>9.9998593959650887E-3</v>
      </c>
      <c r="N122" s="179">
        <f t="shared" si="16"/>
        <v>-19.200000000000017</v>
      </c>
      <c r="O122" s="180">
        <f t="shared" si="17"/>
        <v>-7.7015643802647471E-2</v>
      </c>
    </row>
    <row r="123" spans="1:15" x14ac:dyDescent="0.55000000000000004">
      <c r="A123" s="198" t="s">
        <v>116</v>
      </c>
      <c r="B123" s="181">
        <f>INDEX(Data[FY2026 Budget Enrollment],MATCH(A123,Data[Label],0))</f>
        <v>470.4</v>
      </c>
      <c r="C123" s="182">
        <f>INDEX(Data[FY26 RPDC Per Student],MATCH(A123,Data[Label],0))</f>
        <v>7988</v>
      </c>
      <c r="D123" s="182">
        <f>INDEX(Data[FY2026 RPDC Total],MATCH(A123,Data[Label],0))</f>
        <v>3757555</v>
      </c>
      <c r="E123" s="182">
        <f>INDEX(Data[FY2026 RPDC Budget Guarantee],MATCH(A123,Data[Label],0))</f>
        <v>0</v>
      </c>
      <c r="F123" s="194">
        <f t="shared" si="9"/>
        <v>3757555</v>
      </c>
      <c r="G123" s="181">
        <f>INDEX(Data[FY2027 Budget Enrollment],MATCH(A123,Data[Label],0))</f>
        <v>452.7</v>
      </c>
      <c r="H123" s="182">
        <f t="shared" si="10"/>
        <v>8148</v>
      </c>
      <c r="I123" s="182">
        <f t="shared" si="11"/>
        <v>3688599.6</v>
      </c>
      <c r="J123" s="182">
        <f t="shared" si="12"/>
        <v>106531</v>
      </c>
      <c r="K123" s="182">
        <f t="shared" si="13"/>
        <v>3795130.6</v>
      </c>
      <c r="L123" s="182">
        <f t="shared" si="14"/>
        <v>37575.600000000093</v>
      </c>
      <c r="M123" s="183">
        <f t="shared" si="15"/>
        <v>1.0000013306525146E-2</v>
      </c>
      <c r="N123" s="184">
        <f t="shared" si="16"/>
        <v>-17.699999999999989</v>
      </c>
      <c r="O123" s="185">
        <f t="shared" si="17"/>
        <v>-3.7627551020408143E-2</v>
      </c>
    </row>
    <row r="124" spans="1:15" x14ac:dyDescent="0.55000000000000004">
      <c r="A124" s="197" t="s">
        <v>117</v>
      </c>
      <c r="B124" s="176">
        <f>INDEX(Data[FY2026 Budget Enrollment],MATCH(A124,Data[Label],0))</f>
        <v>824.3</v>
      </c>
      <c r="C124" s="177">
        <f>INDEX(Data[FY26 RPDC Per Student],MATCH(A124,Data[Label],0))</f>
        <v>7988</v>
      </c>
      <c r="D124" s="177">
        <f>INDEX(Data[FY2026 RPDC Total],MATCH(A124,Data[Label],0))</f>
        <v>6584508</v>
      </c>
      <c r="E124" s="177">
        <f>INDEX(Data[FY2026 RPDC Budget Guarantee],MATCH(A124,Data[Label],0))</f>
        <v>95383</v>
      </c>
      <c r="F124" s="193">
        <f t="shared" si="9"/>
        <v>6679891</v>
      </c>
      <c r="G124" s="176">
        <f>INDEX(Data[FY2027 Budget Enrollment],MATCH(A124,Data[Label],0))</f>
        <v>825.4</v>
      </c>
      <c r="H124" s="177">
        <f t="shared" si="10"/>
        <v>8148</v>
      </c>
      <c r="I124" s="177">
        <f t="shared" si="11"/>
        <v>6725359.2000000002</v>
      </c>
      <c r="J124" s="177">
        <f t="shared" si="12"/>
        <v>0</v>
      </c>
      <c r="K124" s="177">
        <f t="shared" si="13"/>
        <v>6725359.2000000002</v>
      </c>
      <c r="L124" s="177">
        <f t="shared" si="14"/>
        <v>45468.200000000186</v>
      </c>
      <c r="M124" s="178">
        <f t="shared" si="15"/>
        <v>6.8067278343314566E-3</v>
      </c>
      <c r="N124" s="179">
        <f t="shared" si="16"/>
        <v>1.1000000000000227</v>
      </c>
      <c r="O124" s="180">
        <f t="shared" si="17"/>
        <v>1.334465607181879E-3</v>
      </c>
    </row>
    <row r="125" spans="1:15" x14ac:dyDescent="0.55000000000000004">
      <c r="A125" s="198" t="s">
        <v>118</v>
      </c>
      <c r="B125" s="181">
        <f>INDEX(Data[FY2026 Budget Enrollment],MATCH(A125,Data[Label],0))</f>
        <v>413.2</v>
      </c>
      <c r="C125" s="182">
        <f>INDEX(Data[FY26 RPDC Per Student],MATCH(A125,Data[Label],0))</f>
        <v>7988</v>
      </c>
      <c r="D125" s="182">
        <f>INDEX(Data[FY2026 RPDC Total],MATCH(A125,Data[Label],0))</f>
        <v>3300642</v>
      </c>
      <c r="E125" s="182">
        <f>INDEX(Data[FY2026 RPDC Budget Guarantee],MATCH(A125,Data[Label],0))</f>
        <v>287892</v>
      </c>
      <c r="F125" s="194">
        <f t="shared" si="9"/>
        <v>3588534</v>
      </c>
      <c r="G125" s="181">
        <f>INDEX(Data[FY2027 Budget Enrollment],MATCH(A125,Data[Label],0))</f>
        <v>405.2</v>
      </c>
      <c r="H125" s="182">
        <f t="shared" si="10"/>
        <v>8148</v>
      </c>
      <c r="I125" s="182">
        <f t="shared" si="11"/>
        <v>3301569.6</v>
      </c>
      <c r="J125" s="182">
        <f t="shared" si="12"/>
        <v>32079</v>
      </c>
      <c r="K125" s="182">
        <f t="shared" si="13"/>
        <v>3333648.6</v>
      </c>
      <c r="L125" s="182">
        <f t="shared" si="14"/>
        <v>-254885.39999999991</v>
      </c>
      <c r="M125" s="183">
        <f t="shared" si="15"/>
        <v>-7.1027723298706352E-2</v>
      </c>
      <c r="N125" s="184">
        <f t="shared" si="16"/>
        <v>-8</v>
      </c>
      <c r="O125" s="185">
        <f t="shared" si="17"/>
        <v>-1.9361084220716359E-2</v>
      </c>
    </row>
    <row r="126" spans="1:15" x14ac:dyDescent="0.55000000000000004">
      <c r="A126" s="197" t="s">
        <v>119</v>
      </c>
      <c r="B126" s="176">
        <f>INDEX(Data[FY2026 Budget Enrollment],MATCH(A126,Data[Label],0))</f>
        <v>1590.5</v>
      </c>
      <c r="C126" s="177">
        <f>INDEX(Data[FY26 RPDC Per Student],MATCH(A126,Data[Label],0))</f>
        <v>7988</v>
      </c>
      <c r="D126" s="177">
        <f>INDEX(Data[FY2026 RPDC Total],MATCH(A126,Data[Label],0))</f>
        <v>12704914</v>
      </c>
      <c r="E126" s="177">
        <f>INDEX(Data[FY2026 RPDC Budget Guarantee],MATCH(A126,Data[Label],0))</f>
        <v>1975</v>
      </c>
      <c r="F126" s="193">
        <f t="shared" si="9"/>
        <v>12706889</v>
      </c>
      <c r="G126" s="176">
        <f>INDEX(Data[FY2027 Budget Enrollment],MATCH(A126,Data[Label],0))</f>
        <v>1593</v>
      </c>
      <c r="H126" s="177">
        <f t="shared" si="10"/>
        <v>8148</v>
      </c>
      <c r="I126" s="177">
        <f t="shared" si="11"/>
        <v>12979764</v>
      </c>
      <c r="J126" s="177">
        <f t="shared" si="12"/>
        <v>0</v>
      </c>
      <c r="K126" s="177">
        <f t="shared" si="13"/>
        <v>12979764</v>
      </c>
      <c r="L126" s="177">
        <f t="shared" si="14"/>
        <v>272875</v>
      </c>
      <c r="M126" s="178">
        <f t="shared" si="15"/>
        <v>2.1474571785430722E-2</v>
      </c>
      <c r="N126" s="179">
        <f t="shared" si="16"/>
        <v>2.5</v>
      </c>
      <c r="O126" s="180">
        <f t="shared" si="17"/>
        <v>1.5718327569946558E-3</v>
      </c>
    </row>
    <row r="127" spans="1:15" x14ac:dyDescent="0.55000000000000004">
      <c r="A127" s="198" t="s">
        <v>120</v>
      </c>
      <c r="B127" s="181">
        <f>INDEX(Data[FY2026 Budget Enrollment],MATCH(A127,Data[Label],0))</f>
        <v>158.1</v>
      </c>
      <c r="C127" s="182">
        <f>INDEX(Data[FY26 RPDC Per Student],MATCH(A127,Data[Label],0))</f>
        <v>8115</v>
      </c>
      <c r="D127" s="182">
        <f>INDEX(Data[FY2026 RPDC Total],MATCH(A127,Data[Label],0))</f>
        <v>1282982</v>
      </c>
      <c r="E127" s="182">
        <f>INDEX(Data[FY2026 RPDC Budget Guarantee],MATCH(A127,Data[Label],0))</f>
        <v>0</v>
      </c>
      <c r="F127" s="194">
        <f t="shared" si="9"/>
        <v>1282982</v>
      </c>
      <c r="G127" s="181">
        <f>INDEX(Data[FY2027 Budget Enrollment],MATCH(A127,Data[Label],0))</f>
        <v>164</v>
      </c>
      <c r="H127" s="182">
        <f t="shared" si="10"/>
        <v>8275</v>
      </c>
      <c r="I127" s="182">
        <f t="shared" si="11"/>
        <v>1357100</v>
      </c>
      <c r="J127" s="182">
        <f t="shared" si="12"/>
        <v>0</v>
      </c>
      <c r="K127" s="182">
        <f t="shared" si="13"/>
        <v>1357100</v>
      </c>
      <c r="L127" s="182">
        <f t="shared" si="14"/>
        <v>74118</v>
      </c>
      <c r="M127" s="183">
        <f t="shared" si="15"/>
        <v>5.7770101217320277E-2</v>
      </c>
      <c r="N127" s="184">
        <f t="shared" si="16"/>
        <v>5.9000000000000057</v>
      </c>
      <c r="O127" s="185">
        <f t="shared" si="17"/>
        <v>3.7318153067678723E-2</v>
      </c>
    </row>
    <row r="128" spans="1:15" x14ac:dyDescent="0.55000000000000004">
      <c r="A128" s="197" t="s">
        <v>121</v>
      </c>
      <c r="B128" s="176">
        <f>INDEX(Data[FY2026 Budget Enrollment],MATCH(A128,Data[Label],0))</f>
        <v>615.5</v>
      </c>
      <c r="C128" s="177">
        <f>INDEX(Data[FY26 RPDC Per Student],MATCH(A128,Data[Label],0))</f>
        <v>8048</v>
      </c>
      <c r="D128" s="177">
        <f>INDEX(Data[FY2026 RPDC Total],MATCH(A128,Data[Label],0))</f>
        <v>4953544</v>
      </c>
      <c r="E128" s="177">
        <f>INDEX(Data[FY2026 RPDC Budget Guarantee],MATCH(A128,Data[Label],0))</f>
        <v>0</v>
      </c>
      <c r="F128" s="193">
        <f t="shared" si="9"/>
        <v>4953544</v>
      </c>
      <c r="G128" s="176">
        <f>INDEX(Data[FY2027 Budget Enrollment],MATCH(A128,Data[Label],0))</f>
        <v>657.9</v>
      </c>
      <c r="H128" s="177">
        <f t="shared" si="10"/>
        <v>8208</v>
      </c>
      <c r="I128" s="177">
        <f t="shared" si="11"/>
        <v>5400043.2000000002</v>
      </c>
      <c r="J128" s="177">
        <f t="shared" si="12"/>
        <v>0</v>
      </c>
      <c r="K128" s="177">
        <f t="shared" si="13"/>
        <v>5400043.2000000002</v>
      </c>
      <c r="L128" s="177">
        <f t="shared" si="14"/>
        <v>446499.20000000019</v>
      </c>
      <c r="M128" s="178">
        <f t="shared" si="15"/>
        <v>9.0137323903855537E-2</v>
      </c>
      <c r="N128" s="179">
        <f t="shared" si="16"/>
        <v>42.399999999999977</v>
      </c>
      <c r="O128" s="180">
        <f t="shared" si="17"/>
        <v>6.8887083671811497E-2</v>
      </c>
    </row>
    <row r="129" spans="1:15" x14ac:dyDescent="0.55000000000000004">
      <c r="A129" s="198" t="s">
        <v>122</v>
      </c>
      <c r="B129" s="181">
        <f>INDEX(Data[FY2026 Budget Enrollment],MATCH(A129,Data[Label],0))</f>
        <v>1864.1</v>
      </c>
      <c r="C129" s="182">
        <f>INDEX(Data[FY26 RPDC Per Student],MATCH(A129,Data[Label],0))</f>
        <v>7988</v>
      </c>
      <c r="D129" s="182">
        <f>INDEX(Data[FY2026 RPDC Total],MATCH(A129,Data[Label],0))</f>
        <v>14890431</v>
      </c>
      <c r="E129" s="182">
        <f>INDEX(Data[FY2026 RPDC Budget Guarantee],MATCH(A129,Data[Label],0))</f>
        <v>352934</v>
      </c>
      <c r="F129" s="194">
        <f t="shared" si="9"/>
        <v>15243365</v>
      </c>
      <c r="G129" s="181">
        <f>INDEX(Data[FY2027 Budget Enrollment],MATCH(A129,Data[Label],0))</f>
        <v>1906</v>
      </c>
      <c r="H129" s="182">
        <f t="shared" si="10"/>
        <v>8148</v>
      </c>
      <c r="I129" s="182">
        <f t="shared" si="11"/>
        <v>15530088</v>
      </c>
      <c r="J129" s="182">
        <f t="shared" si="12"/>
        <v>0</v>
      </c>
      <c r="K129" s="182">
        <f t="shared" si="13"/>
        <v>15530088</v>
      </c>
      <c r="L129" s="182">
        <f t="shared" si="14"/>
        <v>286723</v>
      </c>
      <c r="M129" s="183">
        <f t="shared" si="15"/>
        <v>1.8809691954499549E-2</v>
      </c>
      <c r="N129" s="184">
        <f t="shared" si="16"/>
        <v>41.900000000000091</v>
      </c>
      <c r="O129" s="185">
        <f t="shared" si="17"/>
        <v>2.2477334906925644E-2</v>
      </c>
    </row>
    <row r="130" spans="1:15" x14ac:dyDescent="0.55000000000000004">
      <c r="A130" s="197" t="s">
        <v>123</v>
      </c>
      <c r="B130" s="176">
        <f>INDEX(Data[FY2026 Budget Enrollment],MATCH(A130,Data[Label],0))</f>
        <v>313.3</v>
      </c>
      <c r="C130" s="177">
        <f>INDEX(Data[FY26 RPDC Per Student],MATCH(A130,Data[Label],0))</f>
        <v>7988</v>
      </c>
      <c r="D130" s="177">
        <f>INDEX(Data[FY2026 RPDC Total],MATCH(A130,Data[Label],0))</f>
        <v>2502640</v>
      </c>
      <c r="E130" s="177">
        <f>INDEX(Data[FY2026 RPDC Budget Guarantee],MATCH(A130,Data[Label],0))</f>
        <v>0</v>
      </c>
      <c r="F130" s="193">
        <f t="shared" si="9"/>
        <v>2502640</v>
      </c>
      <c r="G130" s="176">
        <f>INDEX(Data[FY2027 Budget Enrollment],MATCH(A130,Data[Label],0))</f>
        <v>302.3</v>
      </c>
      <c r="H130" s="177">
        <f t="shared" si="10"/>
        <v>8148</v>
      </c>
      <c r="I130" s="177">
        <f t="shared" si="11"/>
        <v>2463140.4</v>
      </c>
      <c r="J130" s="177">
        <f t="shared" si="12"/>
        <v>64526</v>
      </c>
      <c r="K130" s="177">
        <f t="shared" si="13"/>
        <v>2527666.4</v>
      </c>
      <c r="L130" s="177">
        <f t="shared" si="14"/>
        <v>25026.399999999907</v>
      </c>
      <c r="M130" s="178">
        <f t="shared" si="15"/>
        <v>9.999999999999962E-3</v>
      </c>
      <c r="N130" s="179">
        <f t="shared" si="16"/>
        <v>-11</v>
      </c>
      <c r="O130" s="180">
        <f t="shared" si="17"/>
        <v>-3.5110118097669965E-2</v>
      </c>
    </row>
    <row r="131" spans="1:15" x14ac:dyDescent="0.55000000000000004">
      <c r="A131" s="198" t="s">
        <v>124</v>
      </c>
      <c r="B131" s="181">
        <f>INDEX(Data[FY2026 Budget Enrollment],MATCH(A131,Data[Label],0))</f>
        <v>376.3</v>
      </c>
      <c r="C131" s="182">
        <f>INDEX(Data[FY26 RPDC Per Student],MATCH(A131,Data[Label],0))</f>
        <v>7988</v>
      </c>
      <c r="D131" s="182">
        <f>INDEX(Data[FY2026 RPDC Total],MATCH(A131,Data[Label],0))</f>
        <v>3005884</v>
      </c>
      <c r="E131" s="182">
        <f>INDEX(Data[FY2026 RPDC Budget Guarantee],MATCH(A131,Data[Label],0))</f>
        <v>0</v>
      </c>
      <c r="F131" s="194">
        <f t="shared" si="9"/>
        <v>3005884</v>
      </c>
      <c r="G131" s="181">
        <f>INDEX(Data[FY2027 Budget Enrollment],MATCH(A131,Data[Label],0))</f>
        <v>376.5</v>
      </c>
      <c r="H131" s="182">
        <f t="shared" si="10"/>
        <v>8148</v>
      </c>
      <c r="I131" s="182">
        <f t="shared" si="11"/>
        <v>3067722</v>
      </c>
      <c r="J131" s="182">
        <f t="shared" si="12"/>
        <v>0</v>
      </c>
      <c r="K131" s="182">
        <f t="shared" si="13"/>
        <v>3067722</v>
      </c>
      <c r="L131" s="182">
        <f t="shared" si="14"/>
        <v>61838</v>
      </c>
      <c r="M131" s="183">
        <f t="shared" si="15"/>
        <v>2.0572317494620553E-2</v>
      </c>
      <c r="N131" s="184">
        <f t="shared" si="16"/>
        <v>0.19999999999998863</v>
      </c>
      <c r="O131" s="185">
        <f t="shared" si="17"/>
        <v>5.3149083178312146E-4</v>
      </c>
    </row>
    <row r="132" spans="1:15" x14ac:dyDescent="0.55000000000000004">
      <c r="A132" s="197" t="s">
        <v>125</v>
      </c>
      <c r="B132" s="176">
        <f>INDEX(Data[FY2026 Budget Enrollment],MATCH(A132,Data[Label],0))</f>
        <v>1199.2</v>
      </c>
      <c r="C132" s="177">
        <f>INDEX(Data[FY26 RPDC Per Student],MATCH(A132,Data[Label],0))</f>
        <v>8022</v>
      </c>
      <c r="D132" s="177">
        <f>INDEX(Data[FY2026 RPDC Total],MATCH(A132,Data[Label],0))</f>
        <v>9619982</v>
      </c>
      <c r="E132" s="177">
        <f>INDEX(Data[FY2026 RPDC Budget Guarantee],MATCH(A132,Data[Label],0))</f>
        <v>0</v>
      </c>
      <c r="F132" s="193">
        <f t="shared" si="9"/>
        <v>9619982</v>
      </c>
      <c r="G132" s="176">
        <f>INDEX(Data[FY2027 Budget Enrollment],MATCH(A132,Data[Label],0))</f>
        <v>1173.2</v>
      </c>
      <c r="H132" s="177">
        <f t="shared" si="10"/>
        <v>8182</v>
      </c>
      <c r="I132" s="177">
        <f t="shared" si="11"/>
        <v>9599122.4000000004</v>
      </c>
      <c r="J132" s="177">
        <f t="shared" si="12"/>
        <v>117059</v>
      </c>
      <c r="K132" s="177">
        <f t="shared" si="13"/>
        <v>9716181.4000000004</v>
      </c>
      <c r="L132" s="177">
        <f t="shared" si="14"/>
        <v>96199.400000000373</v>
      </c>
      <c r="M132" s="178">
        <f t="shared" si="15"/>
        <v>9.9999563408746887E-3</v>
      </c>
      <c r="N132" s="179">
        <f t="shared" si="16"/>
        <v>-26</v>
      </c>
      <c r="O132" s="180">
        <f t="shared" si="17"/>
        <v>-2.1681120747164776E-2</v>
      </c>
    </row>
    <row r="133" spans="1:15" x14ac:dyDescent="0.55000000000000004">
      <c r="A133" s="198" t="s">
        <v>126</v>
      </c>
      <c r="B133" s="181">
        <f>INDEX(Data[FY2026 Budget Enrollment],MATCH(A133,Data[Label],0))</f>
        <v>1502.2</v>
      </c>
      <c r="C133" s="182">
        <f>INDEX(Data[FY26 RPDC Per Student],MATCH(A133,Data[Label],0))</f>
        <v>7988</v>
      </c>
      <c r="D133" s="182">
        <f>INDEX(Data[FY2026 RPDC Total],MATCH(A133,Data[Label],0))</f>
        <v>11999574</v>
      </c>
      <c r="E133" s="182">
        <f>INDEX(Data[FY2026 RPDC Budget Guarantee],MATCH(A133,Data[Label],0))</f>
        <v>0</v>
      </c>
      <c r="F133" s="194">
        <f t="shared" si="9"/>
        <v>11999574</v>
      </c>
      <c r="G133" s="181">
        <f>INDEX(Data[FY2027 Budget Enrollment],MATCH(A133,Data[Label],0))</f>
        <v>1467.7</v>
      </c>
      <c r="H133" s="182">
        <f t="shared" si="10"/>
        <v>8148</v>
      </c>
      <c r="I133" s="182">
        <f t="shared" si="11"/>
        <v>11958819.6</v>
      </c>
      <c r="J133" s="182">
        <f t="shared" si="12"/>
        <v>160750</v>
      </c>
      <c r="K133" s="182">
        <f t="shared" si="13"/>
        <v>12119569.6</v>
      </c>
      <c r="L133" s="182">
        <f t="shared" si="14"/>
        <v>119995.59999999963</v>
      </c>
      <c r="M133" s="183">
        <f t="shared" si="15"/>
        <v>9.9999883329191207E-3</v>
      </c>
      <c r="N133" s="184">
        <f t="shared" si="16"/>
        <v>-34.5</v>
      </c>
      <c r="O133" s="185">
        <f t="shared" si="17"/>
        <v>-2.2966316069764344E-2</v>
      </c>
    </row>
    <row r="134" spans="1:15" x14ac:dyDescent="0.55000000000000004">
      <c r="A134" s="197" t="s">
        <v>127</v>
      </c>
      <c r="B134" s="176">
        <f>INDEX(Data[FY2026 Budget Enrollment],MATCH(A134,Data[Label],0))</f>
        <v>443.1</v>
      </c>
      <c r="C134" s="177">
        <f>INDEX(Data[FY26 RPDC Per Student],MATCH(A134,Data[Label],0))</f>
        <v>8013</v>
      </c>
      <c r="D134" s="177">
        <f>INDEX(Data[FY2026 RPDC Total],MATCH(A134,Data[Label],0))</f>
        <v>3550560</v>
      </c>
      <c r="E134" s="177">
        <f>INDEX(Data[FY2026 RPDC Budget Guarantee],MATCH(A134,Data[Label],0))</f>
        <v>96957</v>
      </c>
      <c r="F134" s="193">
        <f t="shared" si="9"/>
        <v>3647517</v>
      </c>
      <c r="G134" s="176">
        <f>INDEX(Data[FY2027 Budget Enrollment],MATCH(A134,Data[Label],0))</f>
        <v>415.6</v>
      </c>
      <c r="H134" s="177">
        <f t="shared" si="10"/>
        <v>8173</v>
      </c>
      <c r="I134" s="177">
        <f t="shared" si="11"/>
        <v>3396698.8000000003</v>
      </c>
      <c r="J134" s="177">
        <f t="shared" si="12"/>
        <v>189367</v>
      </c>
      <c r="K134" s="177">
        <f t="shared" si="13"/>
        <v>3586065.8000000003</v>
      </c>
      <c r="L134" s="177">
        <f t="shared" si="14"/>
        <v>-61451.199999999721</v>
      </c>
      <c r="M134" s="178">
        <f t="shared" si="15"/>
        <v>-1.6847406057326045E-2</v>
      </c>
      <c r="N134" s="179">
        <f t="shared" si="16"/>
        <v>-27.5</v>
      </c>
      <c r="O134" s="180">
        <f t="shared" si="17"/>
        <v>-6.206273978785827E-2</v>
      </c>
    </row>
    <row r="135" spans="1:15" x14ac:dyDescent="0.55000000000000004">
      <c r="A135" s="198" t="s">
        <v>128</v>
      </c>
      <c r="B135" s="181">
        <f>INDEX(Data[FY2026 Budget Enrollment],MATCH(A135,Data[Label],0))</f>
        <v>681</v>
      </c>
      <c r="C135" s="182">
        <f>INDEX(Data[FY26 RPDC Per Student],MATCH(A135,Data[Label],0))</f>
        <v>7988</v>
      </c>
      <c r="D135" s="182">
        <f>INDEX(Data[FY2026 RPDC Total],MATCH(A135,Data[Label],0))</f>
        <v>5439828</v>
      </c>
      <c r="E135" s="182">
        <f>INDEX(Data[FY2026 RPDC Budget Guarantee],MATCH(A135,Data[Label],0))</f>
        <v>0</v>
      </c>
      <c r="F135" s="194">
        <f t="shared" si="9"/>
        <v>5439828</v>
      </c>
      <c r="G135" s="181">
        <f>INDEX(Data[FY2027 Budget Enrollment],MATCH(A135,Data[Label],0))</f>
        <v>661.1</v>
      </c>
      <c r="H135" s="182">
        <f t="shared" si="10"/>
        <v>8148</v>
      </c>
      <c r="I135" s="182">
        <f t="shared" si="11"/>
        <v>5386642.7999999998</v>
      </c>
      <c r="J135" s="182">
        <f t="shared" si="12"/>
        <v>107583</v>
      </c>
      <c r="K135" s="182">
        <f t="shared" si="13"/>
        <v>5494225.7999999998</v>
      </c>
      <c r="L135" s="182">
        <f t="shared" si="14"/>
        <v>54397.799999999814</v>
      </c>
      <c r="M135" s="183">
        <f t="shared" si="15"/>
        <v>9.999911761915968E-3</v>
      </c>
      <c r="N135" s="184">
        <f t="shared" si="16"/>
        <v>-19.899999999999977</v>
      </c>
      <c r="O135" s="185">
        <f t="shared" si="17"/>
        <v>-2.9221732745961789E-2</v>
      </c>
    </row>
    <row r="136" spans="1:15" x14ac:dyDescent="0.55000000000000004">
      <c r="A136" s="197" t="s">
        <v>129</v>
      </c>
      <c r="B136" s="176">
        <f>INDEX(Data[FY2026 Budget Enrollment],MATCH(A136,Data[Label],0))</f>
        <v>388.2</v>
      </c>
      <c r="C136" s="177">
        <f>INDEX(Data[FY26 RPDC Per Student],MATCH(A136,Data[Label],0))</f>
        <v>7988</v>
      </c>
      <c r="D136" s="177">
        <f>INDEX(Data[FY2026 RPDC Total],MATCH(A136,Data[Label],0))</f>
        <v>3100942</v>
      </c>
      <c r="E136" s="177">
        <f>INDEX(Data[FY2026 RPDC Budget Guarantee],MATCH(A136,Data[Label],0))</f>
        <v>24402</v>
      </c>
      <c r="F136" s="193">
        <f t="shared" si="9"/>
        <v>3125344</v>
      </c>
      <c r="G136" s="176">
        <f>INDEX(Data[FY2027 Budget Enrollment],MATCH(A136,Data[Label],0))</f>
        <v>384.9</v>
      </c>
      <c r="H136" s="177">
        <f t="shared" si="10"/>
        <v>8148</v>
      </c>
      <c r="I136" s="177">
        <f t="shared" si="11"/>
        <v>3136165.1999999997</v>
      </c>
      <c r="J136" s="177">
        <f t="shared" si="12"/>
        <v>0</v>
      </c>
      <c r="K136" s="177">
        <f t="shared" si="13"/>
        <v>3136165.1999999997</v>
      </c>
      <c r="L136" s="177">
        <f t="shared" si="14"/>
        <v>10821.199999999721</v>
      </c>
      <c r="M136" s="178">
        <f t="shared" si="15"/>
        <v>3.4624028586932257E-3</v>
      </c>
      <c r="N136" s="179">
        <f t="shared" si="16"/>
        <v>-3.3000000000000114</v>
      </c>
      <c r="O136" s="180">
        <f t="shared" si="17"/>
        <v>-8.5007727975270776E-3</v>
      </c>
    </row>
    <row r="137" spans="1:15" x14ac:dyDescent="0.55000000000000004">
      <c r="A137" s="198" t="s">
        <v>130</v>
      </c>
      <c r="B137" s="181">
        <f>INDEX(Data[FY2026 Budget Enrollment],MATCH(A137,Data[Label],0))</f>
        <v>308</v>
      </c>
      <c r="C137" s="182">
        <f>INDEX(Data[FY26 RPDC Per Student],MATCH(A137,Data[Label],0))</f>
        <v>8048</v>
      </c>
      <c r="D137" s="182">
        <f>INDEX(Data[FY2026 RPDC Total],MATCH(A137,Data[Label],0))</f>
        <v>2478784</v>
      </c>
      <c r="E137" s="182">
        <f>INDEX(Data[FY2026 RPDC Budget Guarantee],MATCH(A137,Data[Label],0))</f>
        <v>38114</v>
      </c>
      <c r="F137" s="194">
        <f t="shared" si="9"/>
        <v>2516898</v>
      </c>
      <c r="G137" s="181">
        <f>INDEX(Data[FY2027 Budget Enrollment],MATCH(A137,Data[Label],0))</f>
        <v>308</v>
      </c>
      <c r="H137" s="182">
        <f t="shared" si="10"/>
        <v>8208</v>
      </c>
      <c r="I137" s="182">
        <f t="shared" si="11"/>
        <v>2528064</v>
      </c>
      <c r="J137" s="182">
        <f t="shared" si="12"/>
        <v>0</v>
      </c>
      <c r="K137" s="182">
        <f t="shared" si="13"/>
        <v>2528064</v>
      </c>
      <c r="L137" s="182">
        <f t="shared" si="14"/>
        <v>11166</v>
      </c>
      <c r="M137" s="183">
        <f t="shared" si="15"/>
        <v>4.4364133945833323E-3</v>
      </c>
      <c r="N137" s="184">
        <f t="shared" si="16"/>
        <v>0</v>
      </c>
      <c r="O137" s="185">
        <f t="shared" si="17"/>
        <v>0</v>
      </c>
    </row>
    <row r="138" spans="1:15" x14ac:dyDescent="0.55000000000000004">
      <c r="A138" s="197" t="s">
        <v>131</v>
      </c>
      <c r="B138" s="176">
        <f>INDEX(Data[FY2026 Budget Enrollment],MATCH(A138,Data[Label],0))</f>
        <v>203</v>
      </c>
      <c r="C138" s="177">
        <f>INDEX(Data[FY26 RPDC Per Student],MATCH(A138,Data[Label],0))</f>
        <v>8089</v>
      </c>
      <c r="D138" s="177">
        <f>INDEX(Data[FY2026 RPDC Total],MATCH(A138,Data[Label],0))</f>
        <v>1642067</v>
      </c>
      <c r="E138" s="177">
        <f>INDEX(Data[FY2026 RPDC Budget Guarantee],MATCH(A138,Data[Label],0))</f>
        <v>24288</v>
      </c>
      <c r="F138" s="193">
        <f t="shared" si="9"/>
        <v>1666355</v>
      </c>
      <c r="G138" s="176">
        <f>INDEX(Data[FY2027 Budget Enrollment],MATCH(A138,Data[Label],0))</f>
        <v>215</v>
      </c>
      <c r="H138" s="177">
        <f t="shared" si="10"/>
        <v>8249</v>
      </c>
      <c r="I138" s="177">
        <f t="shared" si="11"/>
        <v>1773535</v>
      </c>
      <c r="J138" s="177">
        <f t="shared" si="12"/>
        <v>0</v>
      </c>
      <c r="K138" s="177">
        <f t="shared" si="13"/>
        <v>1773535</v>
      </c>
      <c r="L138" s="177">
        <f t="shared" si="14"/>
        <v>107180</v>
      </c>
      <c r="M138" s="178">
        <f t="shared" si="15"/>
        <v>6.4320027845207059E-2</v>
      </c>
      <c r="N138" s="179">
        <f t="shared" si="16"/>
        <v>12</v>
      </c>
      <c r="O138" s="180">
        <f t="shared" si="17"/>
        <v>5.9113300492610835E-2</v>
      </c>
    </row>
    <row r="139" spans="1:15" x14ac:dyDescent="0.55000000000000004">
      <c r="A139" s="198" t="s">
        <v>132</v>
      </c>
      <c r="B139" s="181">
        <f>INDEX(Data[FY2026 Budget Enrollment],MATCH(A139,Data[Label],0))</f>
        <v>1087.8</v>
      </c>
      <c r="C139" s="182">
        <f>INDEX(Data[FY26 RPDC Per Student],MATCH(A139,Data[Label],0))</f>
        <v>7988</v>
      </c>
      <c r="D139" s="182">
        <f>INDEX(Data[FY2026 RPDC Total],MATCH(A139,Data[Label],0))</f>
        <v>8689346</v>
      </c>
      <c r="E139" s="182">
        <f>INDEX(Data[FY2026 RPDC Budget Guarantee],MATCH(A139,Data[Label],0))</f>
        <v>0</v>
      </c>
      <c r="F139" s="194">
        <f t="shared" ref="F139:F202" si="18">D139+E139</f>
        <v>8689346</v>
      </c>
      <c r="G139" s="181">
        <f>INDEX(Data[FY2027 Budget Enrollment],MATCH(A139,Data[Label],0))</f>
        <v>1044.5</v>
      </c>
      <c r="H139" s="182">
        <f t="shared" ref="H139:H202" si="19">MAX(7988+ROUND(7988*$B$6,0)+$E$6,C139+ROUND(7988*$B$6,0))</f>
        <v>8148</v>
      </c>
      <c r="I139" s="182">
        <f t="shared" ref="I139:I202" si="20">G139*H139</f>
        <v>8510586</v>
      </c>
      <c r="J139" s="182">
        <f t="shared" ref="J139:J202" si="21">ROUND(MAX((D139*1.01)-I139,0),0)</f>
        <v>265653</v>
      </c>
      <c r="K139" s="182">
        <f t="shared" ref="K139:K202" si="22">I139+J139</f>
        <v>8776239</v>
      </c>
      <c r="L139" s="182">
        <f t="shared" ref="L139:L202" si="23">K139-F139</f>
        <v>86893</v>
      </c>
      <c r="M139" s="183">
        <f t="shared" ref="M139:M202" si="24">L139/F139</f>
        <v>9.9999470616085485E-3</v>
      </c>
      <c r="N139" s="184">
        <f t="shared" ref="N139:N202" si="25">G139-B139</f>
        <v>-43.299999999999955</v>
      </c>
      <c r="O139" s="185">
        <f t="shared" ref="O139:O202" si="26">N139/B139</f>
        <v>-3.9805111233682619E-2</v>
      </c>
    </row>
    <row r="140" spans="1:15" x14ac:dyDescent="0.55000000000000004">
      <c r="A140" s="197" t="s">
        <v>133</v>
      </c>
      <c r="B140" s="176">
        <f>INDEX(Data[FY2026 Budget Enrollment],MATCH(A140,Data[Label],0))</f>
        <v>1346.7</v>
      </c>
      <c r="C140" s="177">
        <f>INDEX(Data[FY26 RPDC Per Student],MATCH(A140,Data[Label],0))</f>
        <v>7988</v>
      </c>
      <c r="D140" s="177">
        <f>INDEX(Data[FY2026 RPDC Total],MATCH(A140,Data[Label],0))</f>
        <v>10757440</v>
      </c>
      <c r="E140" s="177">
        <f>INDEX(Data[FY2026 RPDC Budget Guarantee],MATCH(A140,Data[Label],0))</f>
        <v>32441</v>
      </c>
      <c r="F140" s="193">
        <f t="shared" si="18"/>
        <v>10789881</v>
      </c>
      <c r="G140" s="176">
        <f>INDEX(Data[FY2027 Budget Enrollment],MATCH(A140,Data[Label],0))</f>
        <v>1292.0999999999999</v>
      </c>
      <c r="H140" s="177">
        <f t="shared" si="19"/>
        <v>8148</v>
      </c>
      <c r="I140" s="177">
        <f t="shared" si="20"/>
        <v>10528030.799999999</v>
      </c>
      <c r="J140" s="177">
        <f t="shared" si="21"/>
        <v>336984</v>
      </c>
      <c r="K140" s="177">
        <f t="shared" si="22"/>
        <v>10865014.799999999</v>
      </c>
      <c r="L140" s="177">
        <f t="shared" si="23"/>
        <v>75133.799999998882</v>
      </c>
      <c r="M140" s="178">
        <f t="shared" si="24"/>
        <v>6.9633576125630011E-3</v>
      </c>
      <c r="N140" s="179">
        <f t="shared" si="25"/>
        <v>-54.600000000000136</v>
      </c>
      <c r="O140" s="180">
        <f t="shared" si="26"/>
        <v>-4.0543550902205489E-2</v>
      </c>
    </row>
    <row r="141" spans="1:15" x14ac:dyDescent="0.55000000000000004">
      <c r="A141" s="198" t="s">
        <v>134</v>
      </c>
      <c r="B141" s="181">
        <f>INDEX(Data[FY2026 Budget Enrollment],MATCH(A141,Data[Label],0))</f>
        <v>299</v>
      </c>
      <c r="C141" s="182">
        <f>INDEX(Data[FY26 RPDC Per Student],MATCH(A141,Data[Label],0))</f>
        <v>8019</v>
      </c>
      <c r="D141" s="182">
        <f>INDEX(Data[FY2026 RPDC Total],MATCH(A141,Data[Label],0))</f>
        <v>2397681</v>
      </c>
      <c r="E141" s="182">
        <f>INDEX(Data[FY2026 RPDC Budget Guarantee],MATCH(A141,Data[Label],0))</f>
        <v>0</v>
      </c>
      <c r="F141" s="194">
        <f t="shared" si="18"/>
        <v>2397681</v>
      </c>
      <c r="G141" s="181">
        <f>INDEX(Data[FY2027 Budget Enrollment],MATCH(A141,Data[Label],0))</f>
        <v>284</v>
      </c>
      <c r="H141" s="182">
        <f t="shared" si="19"/>
        <v>8179</v>
      </c>
      <c r="I141" s="182">
        <f t="shared" si="20"/>
        <v>2322836</v>
      </c>
      <c r="J141" s="182">
        <f t="shared" si="21"/>
        <v>98822</v>
      </c>
      <c r="K141" s="182">
        <f t="shared" si="22"/>
        <v>2421658</v>
      </c>
      <c r="L141" s="182">
        <f t="shared" si="23"/>
        <v>23977</v>
      </c>
      <c r="M141" s="183">
        <f t="shared" si="24"/>
        <v>1.0000079243235442E-2</v>
      </c>
      <c r="N141" s="184">
        <f t="shared" si="25"/>
        <v>-15</v>
      </c>
      <c r="O141" s="185">
        <f t="shared" si="26"/>
        <v>-5.016722408026756E-2</v>
      </c>
    </row>
    <row r="142" spans="1:15" x14ac:dyDescent="0.55000000000000004">
      <c r="A142" s="197" t="s">
        <v>135</v>
      </c>
      <c r="B142" s="176">
        <f>INDEX(Data[FY2026 Budget Enrollment],MATCH(A142,Data[Label],0))</f>
        <v>633.1</v>
      </c>
      <c r="C142" s="177">
        <f>INDEX(Data[FY26 RPDC Per Student],MATCH(A142,Data[Label],0))</f>
        <v>7995</v>
      </c>
      <c r="D142" s="177">
        <f>INDEX(Data[FY2026 RPDC Total],MATCH(A142,Data[Label],0))</f>
        <v>5061635</v>
      </c>
      <c r="E142" s="177">
        <f>INDEX(Data[FY2026 RPDC Budget Guarantee],MATCH(A142,Data[Label],0))</f>
        <v>0</v>
      </c>
      <c r="F142" s="193">
        <f t="shared" si="18"/>
        <v>5061635</v>
      </c>
      <c r="G142" s="176">
        <f>INDEX(Data[FY2027 Budget Enrollment],MATCH(A142,Data[Label],0))</f>
        <v>606.1</v>
      </c>
      <c r="H142" s="177">
        <f t="shared" si="19"/>
        <v>8155</v>
      </c>
      <c r="I142" s="177">
        <f t="shared" si="20"/>
        <v>4942745.5</v>
      </c>
      <c r="J142" s="177">
        <f t="shared" si="21"/>
        <v>169506</v>
      </c>
      <c r="K142" s="177">
        <f t="shared" si="22"/>
        <v>5112251.5</v>
      </c>
      <c r="L142" s="177">
        <f t="shared" si="23"/>
        <v>50616.5</v>
      </c>
      <c r="M142" s="178">
        <f t="shared" si="24"/>
        <v>1.0000029634693137E-2</v>
      </c>
      <c r="N142" s="179">
        <f t="shared" si="25"/>
        <v>-27</v>
      </c>
      <c r="O142" s="180">
        <f t="shared" si="26"/>
        <v>-4.2647291107250039E-2</v>
      </c>
    </row>
    <row r="143" spans="1:15" x14ac:dyDescent="0.55000000000000004">
      <c r="A143" s="198" t="s">
        <v>136</v>
      </c>
      <c r="B143" s="181">
        <f>INDEX(Data[FY2026 Budget Enrollment],MATCH(A143,Data[Label],0))</f>
        <v>553.79999999999995</v>
      </c>
      <c r="C143" s="182">
        <f>INDEX(Data[FY26 RPDC Per Student],MATCH(A143,Data[Label],0))</f>
        <v>7988</v>
      </c>
      <c r="D143" s="182">
        <f>INDEX(Data[FY2026 RPDC Total],MATCH(A143,Data[Label],0))</f>
        <v>4423754</v>
      </c>
      <c r="E143" s="182">
        <f>INDEX(Data[FY2026 RPDC Budget Guarantee],MATCH(A143,Data[Label],0))</f>
        <v>233436</v>
      </c>
      <c r="F143" s="194">
        <f t="shared" si="18"/>
        <v>4657190</v>
      </c>
      <c r="G143" s="181">
        <f>INDEX(Data[FY2027 Budget Enrollment],MATCH(A143,Data[Label],0))</f>
        <v>563.70000000000005</v>
      </c>
      <c r="H143" s="182">
        <f t="shared" si="19"/>
        <v>8148</v>
      </c>
      <c r="I143" s="182">
        <f t="shared" si="20"/>
        <v>4593027.6000000006</v>
      </c>
      <c r="J143" s="182">
        <f t="shared" si="21"/>
        <v>0</v>
      </c>
      <c r="K143" s="182">
        <f t="shared" si="22"/>
        <v>4593027.6000000006</v>
      </c>
      <c r="L143" s="182">
        <f t="shared" si="23"/>
        <v>-64162.399999999441</v>
      </c>
      <c r="M143" s="183">
        <f t="shared" si="24"/>
        <v>-1.3777062992920504E-2</v>
      </c>
      <c r="N143" s="184">
        <f t="shared" si="25"/>
        <v>9.9000000000000909</v>
      </c>
      <c r="O143" s="185">
        <f t="shared" si="26"/>
        <v>1.7876489707475789E-2</v>
      </c>
    </row>
    <row r="144" spans="1:15" x14ac:dyDescent="0.55000000000000004">
      <c r="A144" s="197" t="s">
        <v>137</v>
      </c>
      <c r="B144" s="176">
        <f>INDEX(Data[FY2026 Budget Enrollment],MATCH(A144,Data[Label],0))</f>
        <v>572.29999999999995</v>
      </c>
      <c r="C144" s="177">
        <f>INDEX(Data[FY26 RPDC Per Student],MATCH(A144,Data[Label],0))</f>
        <v>7988</v>
      </c>
      <c r="D144" s="177">
        <f>INDEX(Data[FY2026 RPDC Total],MATCH(A144,Data[Label],0))</f>
        <v>4571532</v>
      </c>
      <c r="E144" s="177">
        <f>INDEX(Data[FY2026 RPDC Budget Guarantee],MATCH(A144,Data[Label],0))</f>
        <v>0</v>
      </c>
      <c r="F144" s="193">
        <f t="shared" si="18"/>
        <v>4571532</v>
      </c>
      <c r="G144" s="176">
        <f>INDEX(Data[FY2027 Budget Enrollment],MATCH(A144,Data[Label],0))</f>
        <v>559.70000000000005</v>
      </c>
      <c r="H144" s="177">
        <f t="shared" si="19"/>
        <v>8148</v>
      </c>
      <c r="I144" s="177">
        <f t="shared" si="20"/>
        <v>4560435.6000000006</v>
      </c>
      <c r="J144" s="177">
        <f t="shared" si="21"/>
        <v>56812</v>
      </c>
      <c r="K144" s="177">
        <f t="shared" si="22"/>
        <v>4617247.6000000006</v>
      </c>
      <c r="L144" s="177">
        <f t="shared" si="23"/>
        <v>45715.600000000559</v>
      </c>
      <c r="M144" s="178">
        <f t="shared" si="24"/>
        <v>1.0000061248614371E-2</v>
      </c>
      <c r="N144" s="179">
        <f t="shared" si="25"/>
        <v>-12.599999999999909</v>
      </c>
      <c r="O144" s="180">
        <f t="shared" si="26"/>
        <v>-2.2016424951948121E-2</v>
      </c>
    </row>
    <row r="145" spans="1:15" x14ac:dyDescent="0.55000000000000004">
      <c r="A145" s="198" t="s">
        <v>138</v>
      </c>
      <c r="B145" s="181">
        <f>INDEX(Data[FY2026 Budget Enrollment],MATCH(A145,Data[Label],0))</f>
        <v>1147</v>
      </c>
      <c r="C145" s="182">
        <f>INDEX(Data[FY26 RPDC Per Student],MATCH(A145,Data[Label],0))</f>
        <v>8071</v>
      </c>
      <c r="D145" s="182">
        <f>INDEX(Data[FY2026 RPDC Total],MATCH(A145,Data[Label],0))</f>
        <v>9257437</v>
      </c>
      <c r="E145" s="182">
        <f>INDEX(Data[FY2026 RPDC Budget Guarantee],MATCH(A145,Data[Label],0))</f>
        <v>0</v>
      </c>
      <c r="F145" s="194">
        <f t="shared" si="18"/>
        <v>9257437</v>
      </c>
      <c r="G145" s="181">
        <f>INDEX(Data[FY2027 Budget Enrollment],MATCH(A145,Data[Label],0))</f>
        <v>1124.3</v>
      </c>
      <c r="H145" s="182">
        <f t="shared" si="19"/>
        <v>8231</v>
      </c>
      <c r="I145" s="182">
        <f t="shared" si="20"/>
        <v>9254113.2999999989</v>
      </c>
      <c r="J145" s="182">
        <f t="shared" si="21"/>
        <v>95898</v>
      </c>
      <c r="K145" s="182">
        <f t="shared" si="22"/>
        <v>9350011.2999999989</v>
      </c>
      <c r="L145" s="182">
        <f t="shared" si="23"/>
        <v>92574.299999998882</v>
      </c>
      <c r="M145" s="183">
        <f t="shared" si="24"/>
        <v>9.9999924385117487E-3</v>
      </c>
      <c r="N145" s="184">
        <f t="shared" si="25"/>
        <v>-22.700000000000045</v>
      </c>
      <c r="O145" s="185">
        <f t="shared" si="26"/>
        <v>-1.9790758500435959E-2</v>
      </c>
    </row>
    <row r="146" spans="1:15" x14ac:dyDescent="0.55000000000000004">
      <c r="A146" s="197" t="s">
        <v>139</v>
      </c>
      <c r="B146" s="176">
        <f>INDEX(Data[FY2026 Budget Enrollment],MATCH(A146,Data[Label],0))</f>
        <v>408.3</v>
      </c>
      <c r="C146" s="177">
        <f>INDEX(Data[FY26 RPDC Per Student],MATCH(A146,Data[Label],0))</f>
        <v>8060</v>
      </c>
      <c r="D146" s="177">
        <f>INDEX(Data[FY2026 RPDC Total],MATCH(A146,Data[Label],0))</f>
        <v>3290898</v>
      </c>
      <c r="E146" s="177">
        <f>INDEX(Data[FY2026 RPDC Budget Guarantee],MATCH(A146,Data[Label],0))</f>
        <v>0</v>
      </c>
      <c r="F146" s="193">
        <f t="shared" si="18"/>
        <v>3290898</v>
      </c>
      <c r="G146" s="176">
        <f>INDEX(Data[FY2027 Budget Enrollment],MATCH(A146,Data[Label],0))</f>
        <v>388.4</v>
      </c>
      <c r="H146" s="177">
        <f t="shared" si="19"/>
        <v>8220</v>
      </c>
      <c r="I146" s="177">
        <f t="shared" si="20"/>
        <v>3192648</v>
      </c>
      <c r="J146" s="177">
        <f t="shared" si="21"/>
        <v>131159</v>
      </c>
      <c r="K146" s="177">
        <f t="shared" si="22"/>
        <v>3323807</v>
      </c>
      <c r="L146" s="177">
        <f t="shared" si="23"/>
        <v>32909</v>
      </c>
      <c r="M146" s="178">
        <f t="shared" si="24"/>
        <v>1.0000006077368548E-2</v>
      </c>
      <c r="N146" s="179">
        <f t="shared" si="25"/>
        <v>-19.900000000000034</v>
      </c>
      <c r="O146" s="180">
        <f t="shared" si="26"/>
        <v>-4.873867254469761E-2</v>
      </c>
    </row>
    <row r="147" spans="1:15" x14ac:dyDescent="0.55000000000000004">
      <c r="A147" s="198" t="s">
        <v>140</v>
      </c>
      <c r="B147" s="181">
        <f>INDEX(Data[FY2026 Budget Enrollment],MATCH(A147,Data[Label],0))</f>
        <v>776.5</v>
      </c>
      <c r="C147" s="182">
        <f>INDEX(Data[FY26 RPDC Per Student],MATCH(A147,Data[Label],0))</f>
        <v>8123</v>
      </c>
      <c r="D147" s="182">
        <f>INDEX(Data[FY2026 RPDC Total],MATCH(A147,Data[Label],0))</f>
        <v>6307510</v>
      </c>
      <c r="E147" s="182">
        <f>INDEX(Data[FY2026 RPDC Budget Guarantee],MATCH(A147,Data[Label],0))</f>
        <v>0</v>
      </c>
      <c r="F147" s="194">
        <f t="shared" si="18"/>
        <v>6307510</v>
      </c>
      <c r="G147" s="181">
        <f>INDEX(Data[FY2027 Budget Enrollment],MATCH(A147,Data[Label],0))</f>
        <v>767.9</v>
      </c>
      <c r="H147" s="182">
        <f t="shared" si="19"/>
        <v>8283</v>
      </c>
      <c r="I147" s="182">
        <f t="shared" si="20"/>
        <v>6360515.7000000002</v>
      </c>
      <c r="J147" s="182">
        <f t="shared" si="21"/>
        <v>10069</v>
      </c>
      <c r="K147" s="182">
        <f t="shared" si="22"/>
        <v>6370584.7000000002</v>
      </c>
      <c r="L147" s="182">
        <f t="shared" si="23"/>
        <v>63074.700000000186</v>
      </c>
      <c r="M147" s="183">
        <f t="shared" si="24"/>
        <v>9.999936583532992E-3</v>
      </c>
      <c r="N147" s="184">
        <f t="shared" si="25"/>
        <v>-8.6000000000000227</v>
      </c>
      <c r="O147" s="185">
        <f t="shared" si="26"/>
        <v>-1.1075338055376719E-2</v>
      </c>
    </row>
    <row r="148" spans="1:15" x14ac:dyDescent="0.55000000000000004">
      <c r="A148" s="197" t="s">
        <v>141</v>
      </c>
      <c r="B148" s="176">
        <f>INDEX(Data[FY2026 Budget Enrollment],MATCH(A148,Data[Label],0))</f>
        <v>1199.2</v>
      </c>
      <c r="C148" s="177">
        <f>INDEX(Data[FY26 RPDC Per Student],MATCH(A148,Data[Label],0))</f>
        <v>7988</v>
      </c>
      <c r="D148" s="177">
        <f>INDEX(Data[FY2026 RPDC Total],MATCH(A148,Data[Label],0))</f>
        <v>9579210</v>
      </c>
      <c r="E148" s="177">
        <f>INDEX(Data[FY2026 RPDC Budget Guarantee],MATCH(A148,Data[Label],0))</f>
        <v>22094</v>
      </c>
      <c r="F148" s="193">
        <f t="shared" si="18"/>
        <v>9601304</v>
      </c>
      <c r="G148" s="176">
        <f>INDEX(Data[FY2027 Budget Enrollment],MATCH(A148,Data[Label],0))</f>
        <v>1166</v>
      </c>
      <c r="H148" s="177">
        <f t="shared" si="19"/>
        <v>8148</v>
      </c>
      <c r="I148" s="177">
        <f t="shared" si="20"/>
        <v>9500568</v>
      </c>
      <c r="J148" s="177">
        <f t="shared" si="21"/>
        <v>174434</v>
      </c>
      <c r="K148" s="177">
        <f t="shared" si="22"/>
        <v>9675002</v>
      </c>
      <c r="L148" s="177">
        <f t="shared" si="23"/>
        <v>73698</v>
      </c>
      <c r="M148" s="178">
        <f t="shared" si="24"/>
        <v>7.6758323661036045E-3</v>
      </c>
      <c r="N148" s="179">
        <f t="shared" si="25"/>
        <v>-33.200000000000045</v>
      </c>
      <c r="O148" s="180">
        <f t="shared" si="26"/>
        <v>-2.7685123415610444E-2</v>
      </c>
    </row>
    <row r="149" spans="1:15" x14ac:dyDescent="0.55000000000000004">
      <c r="A149" s="198" t="s">
        <v>142</v>
      </c>
      <c r="B149" s="181">
        <f>INDEX(Data[FY2026 Budget Enrollment],MATCH(A149,Data[Label],0))</f>
        <v>674.7</v>
      </c>
      <c r="C149" s="182">
        <f>INDEX(Data[FY26 RPDC Per Student],MATCH(A149,Data[Label],0))</f>
        <v>8049</v>
      </c>
      <c r="D149" s="182">
        <f>INDEX(Data[FY2026 RPDC Total],MATCH(A149,Data[Label],0))</f>
        <v>5430660</v>
      </c>
      <c r="E149" s="182">
        <f>INDEX(Data[FY2026 RPDC Budget Guarantee],MATCH(A149,Data[Label],0))</f>
        <v>0</v>
      </c>
      <c r="F149" s="194">
        <f t="shared" si="18"/>
        <v>5430660</v>
      </c>
      <c r="G149" s="181">
        <f>INDEX(Data[FY2027 Budget Enrollment],MATCH(A149,Data[Label],0))</f>
        <v>711.5</v>
      </c>
      <c r="H149" s="182">
        <f t="shared" si="19"/>
        <v>8209</v>
      </c>
      <c r="I149" s="182">
        <f t="shared" si="20"/>
        <v>5840703.5</v>
      </c>
      <c r="J149" s="182">
        <f t="shared" si="21"/>
        <v>0</v>
      </c>
      <c r="K149" s="182">
        <f t="shared" si="22"/>
        <v>5840703.5</v>
      </c>
      <c r="L149" s="182">
        <f t="shared" si="23"/>
        <v>410043.5</v>
      </c>
      <c r="M149" s="183">
        <f t="shared" si="24"/>
        <v>7.550527928465417E-2</v>
      </c>
      <c r="N149" s="184">
        <f t="shared" si="25"/>
        <v>36.799999999999955</v>
      </c>
      <c r="O149" s="185">
        <f t="shared" si="26"/>
        <v>5.4542759745071813E-2</v>
      </c>
    </row>
    <row r="150" spans="1:15" x14ac:dyDescent="0.55000000000000004">
      <c r="A150" s="197" t="s">
        <v>143</v>
      </c>
      <c r="B150" s="176">
        <f>INDEX(Data[FY2026 Budget Enrollment],MATCH(A150,Data[Label],0))</f>
        <v>1354.8</v>
      </c>
      <c r="C150" s="177">
        <f>INDEX(Data[FY26 RPDC Per Student],MATCH(A150,Data[Label],0))</f>
        <v>7988</v>
      </c>
      <c r="D150" s="177">
        <f>INDEX(Data[FY2026 RPDC Total],MATCH(A150,Data[Label],0))</f>
        <v>10822142</v>
      </c>
      <c r="E150" s="177">
        <f>INDEX(Data[FY2026 RPDC Budget Guarantee],MATCH(A150,Data[Label],0))</f>
        <v>67557</v>
      </c>
      <c r="F150" s="193">
        <f t="shared" si="18"/>
        <v>10889699</v>
      </c>
      <c r="G150" s="176">
        <f>INDEX(Data[FY2027 Budget Enrollment],MATCH(A150,Data[Label],0))</f>
        <v>1335.3</v>
      </c>
      <c r="H150" s="177">
        <f t="shared" si="19"/>
        <v>8148</v>
      </c>
      <c r="I150" s="177">
        <f t="shared" si="20"/>
        <v>10880024.4</v>
      </c>
      <c r="J150" s="177">
        <f t="shared" si="21"/>
        <v>50339</v>
      </c>
      <c r="K150" s="177">
        <f t="shared" si="22"/>
        <v>10930363.4</v>
      </c>
      <c r="L150" s="177">
        <f t="shared" si="23"/>
        <v>40664.400000000373</v>
      </c>
      <c r="M150" s="178">
        <f t="shared" si="24"/>
        <v>3.7342078968390559E-3</v>
      </c>
      <c r="N150" s="179">
        <f t="shared" si="25"/>
        <v>-19.5</v>
      </c>
      <c r="O150" s="180">
        <f t="shared" si="26"/>
        <v>-1.4393268379096547E-2</v>
      </c>
    </row>
    <row r="151" spans="1:15" x14ac:dyDescent="0.55000000000000004">
      <c r="A151" s="198" t="s">
        <v>144</v>
      </c>
      <c r="B151" s="181">
        <f>INDEX(Data[FY2026 Budget Enrollment],MATCH(A151,Data[Label],0))</f>
        <v>3430.2</v>
      </c>
      <c r="C151" s="182">
        <f>INDEX(Data[FY26 RPDC Per Student],MATCH(A151,Data[Label],0))</f>
        <v>7988</v>
      </c>
      <c r="D151" s="182">
        <f>INDEX(Data[FY2026 RPDC Total],MATCH(A151,Data[Label],0))</f>
        <v>27400438</v>
      </c>
      <c r="E151" s="182">
        <f>INDEX(Data[FY2026 RPDC Budget Guarantee],MATCH(A151,Data[Label],0))</f>
        <v>0</v>
      </c>
      <c r="F151" s="194">
        <f t="shared" si="18"/>
        <v>27400438</v>
      </c>
      <c r="G151" s="181">
        <f>INDEX(Data[FY2027 Budget Enrollment],MATCH(A151,Data[Label],0))</f>
        <v>3337.8</v>
      </c>
      <c r="H151" s="182">
        <f t="shared" si="19"/>
        <v>8148</v>
      </c>
      <c r="I151" s="182">
        <f t="shared" si="20"/>
        <v>27196394.400000002</v>
      </c>
      <c r="J151" s="182">
        <f t="shared" si="21"/>
        <v>478048</v>
      </c>
      <c r="K151" s="182">
        <f t="shared" si="22"/>
        <v>27674442.400000002</v>
      </c>
      <c r="L151" s="182">
        <f t="shared" si="23"/>
        <v>274004.40000000224</v>
      </c>
      <c r="M151" s="183">
        <f t="shared" si="24"/>
        <v>1.0000000729915422E-2</v>
      </c>
      <c r="N151" s="184">
        <f t="shared" si="25"/>
        <v>-92.399999999999636</v>
      </c>
      <c r="O151" s="185">
        <f t="shared" si="26"/>
        <v>-2.6937204827706736E-2</v>
      </c>
    </row>
    <row r="152" spans="1:15" x14ac:dyDescent="0.55000000000000004">
      <c r="A152" s="197" t="s">
        <v>145</v>
      </c>
      <c r="B152" s="176">
        <f>INDEX(Data[FY2026 Budget Enrollment],MATCH(A152,Data[Label],0))</f>
        <v>820.3</v>
      </c>
      <c r="C152" s="177">
        <f>INDEX(Data[FY26 RPDC Per Student],MATCH(A152,Data[Label],0))</f>
        <v>7988</v>
      </c>
      <c r="D152" s="177">
        <f>INDEX(Data[FY2026 RPDC Total],MATCH(A152,Data[Label],0))</f>
        <v>6552556</v>
      </c>
      <c r="E152" s="177">
        <f>INDEX(Data[FY2026 RPDC Budget Guarantee],MATCH(A152,Data[Label],0))</f>
        <v>0</v>
      </c>
      <c r="F152" s="193">
        <f t="shared" si="18"/>
        <v>6552556</v>
      </c>
      <c r="G152" s="176">
        <f>INDEX(Data[FY2027 Budget Enrollment],MATCH(A152,Data[Label],0))</f>
        <v>798.9</v>
      </c>
      <c r="H152" s="177">
        <f t="shared" si="19"/>
        <v>8148</v>
      </c>
      <c r="I152" s="177">
        <f t="shared" si="20"/>
        <v>6509437.2000000002</v>
      </c>
      <c r="J152" s="177">
        <f t="shared" si="21"/>
        <v>108644</v>
      </c>
      <c r="K152" s="177">
        <f t="shared" si="22"/>
        <v>6618081.2000000002</v>
      </c>
      <c r="L152" s="177">
        <f t="shared" si="23"/>
        <v>65525.200000000186</v>
      </c>
      <c r="M152" s="178">
        <f t="shared" si="24"/>
        <v>9.9999450596073031E-3</v>
      </c>
      <c r="N152" s="179">
        <f t="shared" si="25"/>
        <v>-21.399999999999977</v>
      </c>
      <c r="O152" s="180">
        <f t="shared" si="26"/>
        <v>-2.6088016579300231E-2</v>
      </c>
    </row>
    <row r="153" spans="1:15" x14ac:dyDescent="0.55000000000000004">
      <c r="A153" s="198" t="s">
        <v>146</v>
      </c>
      <c r="B153" s="181">
        <f>INDEX(Data[FY2026 Budget Enrollment],MATCH(A153,Data[Label],0))</f>
        <v>14550.6</v>
      </c>
      <c r="C153" s="182">
        <f>INDEX(Data[FY26 RPDC Per Student],MATCH(A153,Data[Label],0))</f>
        <v>7988</v>
      </c>
      <c r="D153" s="182">
        <f>INDEX(Data[FY2026 RPDC Total],MATCH(A153,Data[Label],0))</f>
        <v>116230193</v>
      </c>
      <c r="E153" s="182">
        <f>INDEX(Data[FY2026 RPDC Budget Guarantee],MATCH(A153,Data[Label],0))</f>
        <v>0</v>
      </c>
      <c r="F153" s="194">
        <f t="shared" si="18"/>
        <v>116230193</v>
      </c>
      <c r="G153" s="181">
        <f>INDEX(Data[FY2027 Budget Enrollment],MATCH(A153,Data[Label],0))</f>
        <v>14369.6</v>
      </c>
      <c r="H153" s="182">
        <f t="shared" si="19"/>
        <v>8148</v>
      </c>
      <c r="I153" s="182">
        <f t="shared" si="20"/>
        <v>117083500.8</v>
      </c>
      <c r="J153" s="182">
        <f t="shared" si="21"/>
        <v>308994</v>
      </c>
      <c r="K153" s="182">
        <f t="shared" si="22"/>
        <v>117392494.8</v>
      </c>
      <c r="L153" s="182">
        <f t="shared" si="23"/>
        <v>1162301.799999997</v>
      </c>
      <c r="M153" s="183">
        <f t="shared" si="24"/>
        <v>9.9999988815298365E-3</v>
      </c>
      <c r="N153" s="184">
        <f t="shared" si="25"/>
        <v>-181</v>
      </c>
      <c r="O153" s="185">
        <f t="shared" si="26"/>
        <v>-1.2439349580086044E-2</v>
      </c>
    </row>
    <row r="154" spans="1:15" x14ac:dyDescent="0.55000000000000004">
      <c r="A154" s="197" t="s">
        <v>147</v>
      </c>
      <c r="B154" s="176">
        <f>INDEX(Data[FY2026 Budget Enrollment],MATCH(A154,Data[Label],0))</f>
        <v>965.8</v>
      </c>
      <c r="C154" s="177">
        <f>INDEX(Data[FY26 RPDC Per Student],MATCH(A154,Data[Label],0))</f>
        <v>7988</v>
      </c>
      <c r="D154" s="177">
        <f>INDEX(Data[FY2026 RPDC Total],MATCH(A154,Data[Label],0))</f>
        <v>7714810</v>
      </c>
      <c r="E154" s="177">
        <f>INDEX(Data[FY2026 RPDC Budget Guarantee],MATCH(A154,Data[Label],0))</f>
        <v>218696</v>
      </c>
      <c r="F154" s="193">
        <f t="shared" si="18"/>
        <v>7933506</v>
      </c>
      <c r="G154" s="176">
        <f>INDEX(Data[FY2027 Budget Enrollment],MATCH(A154,Data[Label],0))</f>
        <v>974.7</v>
      </c>
      <c r="H154" s="177">
        <f t="shared" si="19"/>
        <v>8148</v>
      </c>
      <c r="I154" s="177">
        <f t="shared" si="20"/>
        <v>7941855.6000000006</v>
      </c>
      <c r="J154" s="177">
        <f t="shared" si="21"/>
        <v>0</v>
      </c>
      <c r="K154" s="177">
        <f t="shared" si="22"/>
        <v>7941855.6000000006</v>
      </c>
      <c r="L154" s="177">
        <f t="shared" si="23"/>
        <v>8349.6000000005588</v>
      </c>
      <c r="M154" s="178">
        <f t="shared" si="24"/>
        <v>1.0524476820211088E-3</v>
      </c>
      <c r="N154" s="179">
        <f t="shared" si="25"/>
        <v>8.9000000000000909</v>
      </c>
      <c r="O154" s="180">
        <f t="shared" si="26"/>
        <v>9.2151584178919981E-3</v>
      </c>
    </row>
    <row r="155" spans="1:15" x14ac:dyDescent="0.55000000000000004">
      <c r="A155" s="198" t="s">
        <v>148</v>
      </c>
      <c r="B155" s="181">
        <f>INDEX(Data[FY2026 Budget Enrollment],MATCH(A155,Data[Label],0))</f>
        <v>484.8</v>
      </c>
      <c r="C155" s="182">
        <f>INDEX(Data[FY26 RPDC Per Student],MATCH(A155,Data[Label],0))</f>
        <v>7988</v>
      </c>
      <c r="D155" s="182">
        <f>INDEX(Data[FY2026 RPDC Total],MATCH(A155,Data[Label],0))</f>
        <v>3872582</v>
      </c>
      <c r="E155" s="182">
        <f>INDEX(Data[FY2026 RPDC Budget Guarantee],MATCH(A155,Data[Label],0))</f>
        <v>116698</v>
      </c>
      <c r="F155" s="194">
        <f t="shared" si="18"/>
        <v>3989280</v>
      </c>
      <c r="G155" s="181">
        <f>INDEX(Data[FY2027 Budget Enrollment],MATCH(A155,Data[Label],0))</f>
        <v>484.9</v>
      </c>
      <c r="H155" s="182">
        <f t="shared" si="19"/>
        <v>8148</v>
      </c>
      <c r="I155" s="182">
        <f t="shared" si="20"/>
        <v>3950965.1999999997</v>
      </c>
      <c r="J155" s="182">
        <f t="shared" si="21"/>
        <v>0</v>
      </c>
      <c r="K155" s="182">
        <f t="shared" si="22"/>
        <v>3950965.1999999997</v>
      </c>
      <c r="L155" s="182">
        <f t="shared" si="23"/>
        <v>-38314.800000000279</v>
      </c>
      <c r="M155" s="183">
        <f t="shared" si="24"/>
        <v>-9.6044398989291995E-3</v>
      </c>
      <c r="N155" s="184">
        <f t="shared" si="25"/>
        <v>9.9999999999965894E-2</v>
      </c>
      <c r="O155" s="185">
        <f t="shared" si="26"/>
        <v>2.0627062706263591E-4</v>
      </c>
    </row>
    <row r="156" spans="1:15" x14ac:dyDescent="0.55000000000000004">
      <c r="A156" s="197" t="s">
        <v>149</v>
      </c>
      <c r="B156" s="176">
        <f>INDEX(Data[FY2026 Budget Enrollment],MATCH(A156,Data[Label],0))</f>
        <v>443.1</v>
      </c>
      <c r="C156" s="177">
        <f>INDEX(Data[FY26 RPDC Per Student],MATCH(A156,Data[Label],0))</f>
        <v>8023</v>
      </c>
      <c r="D156" s="177">
        <f>INDEX(Data[FY2026 RPDC Total],MATCH(A156,Data[Label],0))</f>
        <v>3554991</v>
      </c>
      <c r="E156" s="177">
        <f>INDEX(Data[FY2026 RPDC Budget Guarantee],MATCH(A156,Data[Label],0))</f>
        <v>0</v>
      </c>
      <c r="F156" s="193">
        <f t="shared" si="18"/>
        <v>3554991</v>
      </c>
      <c r="G156" s="176">
        <f>INDEX(Data[FY2027 Budget Enrollment],MATCH(A156,Data[Label],0))</f>
        <v>430.2</v>
      </c>
      <c r="H156" s="177">
        <f t="shared" si="19"/>
        <v>8183</v>
      </c>
      <c r="I156" s="177">
        <f t="shared" si="20"/>
        <v>3520326.6</v>
      </c>
      <c r="J156" s="177">
        <f t="shared" si="21"/>
        <v>70214</v>
      </c>
      <c r="K156" s="177">
        <f t="shared" si="22"/>
        <v>3590540.6</v>
      </c>
      <c r="L156" s="177">
        <f t="shared" si="23"/>
        <v>35549.600000000093</v>
      </c>
      <c r="M156" s="178">
        <f t="shared" si="24"/>
        <v>9.999912798654087E-3</v>
      </c>
      <c r="N156" s="179">
        <f t="shared" si="25"/>
        <v>-12.900000000000034</v>
      </c>
      <c r="O156" s="180">
        <f t="shared" si="26"/>
        <v>-2.9113067027759048E-2</v>
      </c>
    </row>
    <row r="157" spans="1:15" x14ac:dyDescent="0.55000000000000004">
      <c r="A157" s="198" t="s">
        <v>150</v>
      </c>
      <c r="B157" s="181">
        <f>INDEX(Data[FY2026 Budget Enrollment],MATCH(A157,Data[Label],0))</f>
        <v>869.7</v>
      </c>
      <c r="C157" s="182">
        <f>INDEX(Data[FY26 RPDC Per Student],MATCH(A157,Data[Label],0))</f>
        <v>7988</v>
      </c>
      <c r="D157" s="182">
        <f>INDEX(Data[FY2026 RPDC Total],MATCH(A157,Data[Label],0))</f>
        <v>6947164</v>
      </c>
      <c r="E157" s="182">
        <f>INDEX(Data[FY2026 RPDC Budget Guarantee],MATCH(A157,Data[Label],0))</f>
        <v>0</v>
      </c>
      <c r="F157" s="194">
        <f t="shared" si="18"/>
        <v>6947164</v>
      </c>
      <c r="G157" s="181">
        <f>INDEX(Data[FY2027 Budget Enrollment],MATCH(A157,Data[Label],0))</f>
        <v>826.6</v>
      </c>
      <c r="H157" s="182">
        <f t="shared" si="19"/>
        <v>8148</v>
      </c>
      <c r="I157" s="182">
        <f t="shared" si="20"/>
        <v>6735136.7999999998</v>
      </c>
      <c r="J157" s="182">
        <f t="shared" si="21"/>
        <v>281499</v>
      </c>
      <c r="K157" s="182">
        <f t="shared" si="22"/>
        <v>7016635.7999999998</v>
      </c>
      <c r="L157" s="182">
        <f t="shared" si="23"/>
        <v>69471.799999999814</v>
      </c>
      <c r="M157" s="183">
        <f t="shared" si="24"/>
        <v>1.0000023030980673E-2</v>
      </c>
      <c r="N157" s="184">
        <f t="shared" si="25"/>
        <v>-43.100000000000023</v>
      </c>
      <c r="O157" s="185">
        <f t="shared" si="26"/>
        <v>-4.9557318615614604E-2</v>
      </c>
    </row>
    <row r="158" spans="1:15" x14ac:dyDescent="0.55000000000000004">
      <c r="A158" s="197" t="s">
        <v>151</v>
      </c>
      <c r="B158" s="176">
        <f>INDEX(Data[FY2026 Budget Enrollment],MATCH(A158,Data[Label],0))</f>
        <v>6737.5</v>
      </c>
      <c r="C158" s="177">
        <f>INDEX(Data[FY26 RPDC Per Student],MATCH(A158,Data[Label],0))</f>
        <v>7988</v>
      </c>
      <c r="D158" s="177">
        <f>INDEX(Data[FY2026 RPDC Total],MATCH(A158,Data[Label],0))</f>
        <v>53819150</v>
      </c>
      <c r="E158" s="177">
        <f>INDEX(Data[FY2026 RPDC Budget Guarantee],MATCH(A158,Data[Label],0))</f>
        <v>233341</v>
      </c>
      <c r="F158" s="193">
        <f t="shared" si="18"/>
        <v>54052491</v>
      </c>
      <c r="G158" s="176">
        <f>INDEX(Data[FY2027 Budget Enrollment],MATCH(A158,Data[Label],0))</f>
        <v>6673</v>
      </c>
      <c r="H158" s="177">
        <f t="shared" si="19"/>
        <v>8148</v>
      </c>
      <c r="I158" s="177">
        <f t="shared" si="20"/>
        <v>54371604</v>
      </c>
      <c r="J158" s="177">
        <f t="shared" si="21"/>
        <v>0</v>
      </c>
      <c r="K158" s="177">
        <f t="shared" si="22"/>
        <v>54371604</v>
      </c>
      <c r="L158" s="177">
        <f t="shared" si="23"/>
        <v>319113</v>
      </c>
      <c r="M158" s="178">
        <f t="shared" si="24"/>
        <v>5.9037612161112057E-3</v>
      </c>
      <c r="N158" s="179">
        <f t="shared" si="25"/>
        <v>-64.5</v>
      </c>
      <c r="O158" s="180">
        <f t="shared" si="26"/>
        <v>-9.5732838589981453E-3</v>
      </c>
    </row>
    <row r="159" spans="1:15" x14ac:dyDescent="0.55000000000000004">
      <c r="A159" s="198" t="s">
        <v>152</v>
      </c>
      <c r="B159" s="181">
        <f>INDEX(Data[FY2026 Budget Enrollment],MATCH(A159,Data[Label],0))</f>
        <v>1788.3</v>
      </c>
      <c r="C159" s="182">
        <f>INDEX(Data[FY26 RPDC Per Student],MATCH(A159,Data[Label],0))</f>
        <v>7988</v>
      </c>
      <c r="D159" s="182">
        <f>INDEX(Data[FY2026 RPDC Total],MATCH(A159,Data[Label],0))</f>
        <v>14284940</v>
      </c>
      <c r="E159" s="182">
        <f>INDEX(Data[FY2026 RPDC Budget Guarantee],MATCH(A159,Data[Label],0))</f>
        <v>134802</v>
      </c>
      <c r="F159" s="194">
        <f t="shared" si="18"/>
        <v>14419742</v>
      </c>
      <c r="G159" s="181">
        <f>INDEX(Data[FY2027 Budget Enrollment],MATCH(A159,Data[Label],0))</f>
        <v>1746.3</v>
      </c>
      <c r="H159" s="182">
        <f t="shared" si="19"/>
        <v>8148</v>
      </c>
      <c r="I159" s="182">
        <f t="shared" si="20"/>
        <v>14228852.4</v>
      </c>
      <c r="J159" s="182">
        <f t="shared" si="21"/>
        <v>198937</v>
      </c>
      <c r="K159" s="182">
        <f t="shared" si="22"/>
        <v>14427789.4</v>
      </c>
      <c r="L159" s="182">
        <f t="shared" si="23"/>
        <v>8047.4000000003725</v>
      </c>
      <c r="M159" s="183">
        <f t="shared" si="24"/>
        <v>5.5808210715561847E-4</v>
      </c>
      <c r="N159" s="184">
        <f t="shared" si="25"/>
        <v>-42</v>
      </c>
      <c r="O159" s="185">
        <f t="shared" si="26"/>
        <v>-2.3485992283173964E-2</v>
      </c>
    </row>
    <row r="160" spans="1:15" x14ac:dyDescent="0.55000000000000004">
      <c r="A160" s="197" t="s">
        <v>153</v>
      </c>
      <c r="B160" s="176">
        <f>INDEX(Data[FY2026 Budget Enrollment],MATCH(A160,Data[Label],0))</f>
        <v>331.5</v>
      </c>
      <c r="C160" s="177">
        <f>INDEX(Data[FY26 RPDC Per Student],MATCH(A160,Data[Label],0))</f>
        <v>7992</v>
      </c>
      <c r="D160" s="177">
        <f>INDEX(Data[FY2026 RPDC Total],MATCH(A160,Data[Label],0))</f>
        <v>2649348</v>
      </c>
      <c r="E160" s="177">
        <f>INDEX(Data[FY2026 RPDC Budget Guarantee],MATCH(A160,Data[Label],0))</f>
        <v>91836</v>
      </c>
      <c r="F160" s="193">
        <f t="shared" si="18"/>
        <v>2741184</v>
      </c>
      <c r="G160" s="176">
        <f>INDEX(Data[FY2027 Budget Enrollment],MATCH(A160,Data[Label],0))</f>
        <v>337.7</v>
      </c>
      <c r="H160" s="177">
        <f t="shared" si="19"/>
        <v>8152</v>
      </c>
      <c r="I160" s="177">
        <f t="shared" si="20"/>
        <v>2752930.4</v>
      </c>
      <c r="J160" s="177">
        <f t="shared" si="21"/>
        <v>0</v>
      </c>
      <c r="K160" s="177">
        <f t="shared" si="22"/>
        <v>2752930.4</v>
      </c>
      <c r="L160" s="177">
        <f t="shared" si="23"/>
        <v>11746.399999999907</v>
      </c>
      <c r="M160" s="178">
        <f t="shared" si="24"/>
        <v>4.2851556115897022E-3</v>
      </c>
      <c r="N160" s="179">
        <f t="shared" si="25"/>
        <v>6.1999999999999886</v>
      </c>
      <c r="O160" s="180">
        <f t="shared" si="26"/>
        <v>1.8702865761689256E-2</v>
      </c>
    </row>
    <row r="161" spans="1:15" x14ac:dyDescent="0.55000000000000004">
      <c r="A161" s="198" t="s">
        <v>154</v>
      </c>
      <c r="B161" s="181">
        <f>INDEX(Data[FY2026 Budget Enrollment],MATCH(A161,Data[Label],0))</f>
        <v>461.2</v>
      </c>
      <c r="C161" s="182">
        <f>INDEX(Data[FY26 RPDC Per Student],MATCH(A161,Data[Label],0))</f>
        <v>8051</v>
      </c>
      <c r="D161" s="182">
        <f>INDEX(Data[FY2026 RPDC Total],MATCH(A161,Data[Label],0))</f>
        <v>3713121</v>
      </c>
      <c r="E161" s="182">
        <f>INDEX(Data[FY2026 RPDC Budget Guarantee],MATCH(A161,Data[Label],0))</f>
        <v>0</v>
      </c>
      <c r="F161" s="194">
        <f t="shared" si="18"/>
        <v>3713121</v>
      </c>
      <c r="G161" s="181">
        <f>INDEX(Data[FY2027 Budget Enrollment],MATCH(A161,Data[Label],0))</f>
        <v>461.1</v>
      </c>
      <c r="H161" s="182">
        <f t="shared" si="19"/>
        <v>8211</v>
      </c>
      <c r="I161" s="182">
        <f t="shared" si="20"/>
        <v>3786092.1</v>
      </c>
      <c r="J161" s="182">
        <f t="shared" si="21"/>
        <v>0</v>
      </c>
      <c r="K161" s="182">
        <f t="shared" si="22"/>
        <v>3786092.1</v>
      </c>
      <c r="L161" s="182">
        <f t="shared" si="23"/>
        <v>72971.100000000093</v>
      </c>
      <c r="M161" s="183">
        <f t="shared" si="24"/>
        <v>1.9652227869762416E-2</v>
      </c>
      <c r="N161" s="184">
        <f t="shared" si="25"/>
        <v>-9.9999999999965894E-2</v>
      </c>
      <c r="O161" s="185">
        <f t="shared" si="26"/>
        <v>-2.1682567215950974E-4</v>
      </c>
    </row>
    <row r="162" spans="1:15" x14ac:dyDescent="0.55000000000000004">
      <c r="A162" s="197" t="s">
        <v>155</v>
      </c>
      <c r="B162" s="176">
        <f>INDEX(Data[FY2026 Budget Enrollment],MATCH(A162,Data[Label],0))</f>
        <v>1719.4</v>
      </c>
      <c r="C162" s="177">
        <f>INDEX(Data[FY26 RPDC Per Student],MATCH(A162,Data[Label],0))</f>
        <v>7988</v>
      </c>
      <c r="D162" s="177">
        <f>INDEX(Data[FY2026 RPDC Total],MATCH(A162,Data[Label],0))</f>
        <v>13734567</v>
      </c>
      <c r="E162" s="177">
        <f>INDEX(Data[FY2026 RPDC Budget Guarantee],MATCH(A162,Data[Label],0))</f>
        <v>0</v>
      </c>
      <c r="F162" s="193">
        <f t="shared" si="18"/>
        <v>13734567</v>
      </c>
      <c r="G162" s="176">
        <f>INDEX(Data[FY2027 Budget Enrollment],MATCH(A162,Data[Label],0))</f>
        <v>1628.1</v>
      </c>
      <c r="H162" s="177">
        <f t="shared" si="19"/>
        <v>8148</v>
      </c>
      <c r="I162" s="177">
        <f t="shared" si="20"/>
        <v>13265758.799999999</v>
      </c>
      <c r="J162" s="177">
        <f t="shared" si="21"/>
        <v>606154</v>
      </c>
      <c r="K162" s="177">
        <f t="shared" si="22"/>
        <v>13871912.799999999</v>
      </c>
      <c r="L162" s="177">
        <f t="shared" si="23"/>
        <v>137345.79999999888</v>
      </c>
      <c r="M162" s="178">
        <f t="shared" si="24"/>
        <v>1.0000009465169079E-2</v>
      </c>
      <c r="N162" s="179">
        <f t="shared" si="25"/>
        <v>-91.300000000000182</v>
      </c>
      <c r="O162" s="180">
        <f t="shared" si="26"/>
        <v>-5.3099918576247629E-2</v>
      </c>
    </row>
    <row r="163" spans="1:15" x14ac:dyDescent="0.55000000000000004">
      <c r="A163" s="198" t="s">
        <v>156</v>
      </c>
      <c r="B163" s="181">
        <f>INDEX(Data[FY2026 Budget Enrollment],MATCH(A163,Data[Label],0))</f>
        <v>552.9</v>
      </c>
      <c r="C163" s="182">
        <f>INDEX(Data[FY26 RPDC Per Student],MATCH(A163,Data[Label],0))</f>
        <v>7988</v>
      </c>
      <c r="D163" s="182">
        <f>INDEX(Data[FY2026 RPDC Total],MATCH(A163,Data[Label],0))</f>
        <v>4416565</v>
      </c>
      <c r="E163" s="182">
        <f>INDEX(Data[FY2026 RPDC Budget Guarantee],MATCH(A163,Data[Label],0))</f>
        <v>16144</v>
      </c>
      <c r="F163" s="194">
        <f t="shared" si="18"/>
        <v>4432709</v>
      </c>
      <c r="G163" s="181">
        <f>INDEX(Data[FY2027 Budget Enrollment],MATCH(A163,Data[Label],0))</f>
        <v>544.5</v>
      </c>
      <c r="H163" s="182">
        <f t="shared" si="19"/>
        <v>8148</v>
      </c>
      <c r="I163" s="182">
        <f t="shared" si="20"/>
        <v>4436586</v>
      </c>
      <c r="J163" s="182">
        <f t="shared" si="21"/>
        <v>24145</v>
      </c>
      <c r="K163" s="182">
        <f t="shared" si="22"/>
        <v>4460731</v>
      </c>
      <c r="L163" s="182">
        <f t="shared" si="23"/>
        <v>28022</v>
      </c>
      <c r="M163" s="183">
        <f t="shared" si="24"/>
        <v>6.3216421380243998E-3</v>
      </c>
      <c r="N163" s="184">
        <f t="shared" si="25"/>
        <v>-8.3999999999999773</v>
      </c>
      <c r="O163" s="185">
        <f t="shared" si="26"/>
        <v>-1.5192620727075379E-2</v>
      </c>
    </row>
    <row r="164" spans="1:15" x14ac:dyDescent="0.55000000000000004">
      <c r="A164" s="197" t="s">
        <v>157</v>
      </c>
      <c r="B164" s="176">
        <f>INDEX(Data[FY2026 Budget Enrollment],MATCH(A164,Data[Label],0))</f>
        <v>290.3</v>
      </c>
      <c r="C164" s="177">
        <f>INDEX(Data[FY26 RPDC Per Student],MATCH(A164,Data[Label],0))</f>
        <v>7988</v>
      </c>
      <c r="D164" s="177">
        <f>INDEX(Data[FY2026 RPDC Total],MATCH(A164,Data[Label],0))</f>
        <v>2318916</v>
      </c>
      <c r="E164" s="177">
        <f>INDEX(Data[FY2026 RPDC Budget Guarantee],MATCH(A164,Data[Label],0))</f>
        <v>95045</v>
      </c>
      <c r="F164" s="193">
        <f t="shared" si="18"/>
        <v>2413961</v>
      </c>
      <c r="G164" s="176">
        <f>INDEX(Data[FY2027 Budget Enrollment],MATCH(A164,Data[Label],0))</f>
        <v>288.89999999999998</v>
      </c>
      <c r="H164" s="177">
        <f t="shared" si="19"/>
        <v>8148</v>
      </c>
      <c r="I164" s="177">
        <f t="shared" si="20"/>
        <v>2353957.1999999997</v>
      </c>
      <c r="J164" s="177">
        <f t="shared" si="21"/>
        <v>0</v>
      </c>
      <c r="K164" s="177">
        <f t="shared" si="22"/>
        <v>2353957.1999999997</v>
      </c>
      <c r="L164" s="177">
        <f t="shared" si="23"/>
        <v>-60003.800000000279</v>
      </c>
      <c r="M164" s="178">
        <f t="shared" si="24"/>
        <v>-2.4856988161780693E-2</v>
      </c>
      <c r="N164" s="179">
        <f t="shared" si="25"/>
        <v>-1.4000000000000341</v>
      </c>
      <c r="O164" s="180">
        <f t="shared" si="26"/>
        <v>-4.8225973131244713E-3</v>
      </c>
    </row>
    <row r="165" spans="1:15" x14ac:dyDescent="0.55000000000000004">
      <c r="A165" s="198" t="s">
        <v>158</v>
      </c>
      <c r="B165" s="181">
        <f>INDEX(Data[FY2026 Budget Enrollment],MATCH(A165,Data[Label],0))</f>
        <v>315</v>
      </c>
      <c r="C165" s="182">
        <f>INDEX(Data[FY26 RPDC Per Student],MATCH(A165,Data[Label],0))</f>
        <v>7988</v>
      </c>
      <c r="D165" s="182">
        <f>INDEX(Data[FY2026 RPDC Total],MATCH(A165,Data[Label],0))</f>
        <v>2516220</v>
      </c>
      <c r="E165" s="182">
        <f>INDEX(Data[FY2026 RPDC Budget Guarantee],MATCH(A165,Data[Label],0))</f>
        <v>0</v>
      </c>
      <c r="F165" s="194">
        <f t="shared" si="18"/>
        <v>2516220</v>
      </c>
      <c r="G165" s="181">
        <f>INDEX(Data[FY2027 Budget Enrollment],MATCH(A165,Data[Label],0))</f>
        <v>280</v>
      </c>
      <c r="H165" s="182">
        <f t="shared" si="19"/>
        <v>8148</v>
      </c>
      <c r="I165" s="182">
        <f t="shared" si="20"/>
        <v>2281440</v>
      </c>
      <c r="J165" s="182">
        <f t="shared" si="21"/>
        <v>259942</v>
      </c>
      <c r="K165" s="182">
        <f t="shared" si="22"/>
        <v>2541382</v>
      </c>
      <c r="L165" s="182">
        <f t="shared" si="23"/>
        <v>25162</v>
      </c>
      <c r="M165" s="183">
        <f t="shared" si="24"/>
        <v>9.9999205156941755E-3</v>
      </c>
      <c r="N165" s="184">
        <f t="shared" si="25"/>
        <v>-35</v>
      </c>
      <c r="O165" s="185">
        <f t="shared" si="26"/>
        <v>-0.1111111111111111</v>
      </c>
    </row>
    <row r="166" spans="1:15" x14ac:dyDescent="0.55000000000000004">
      <c r="A166" s="197" t="s">
        <v>159</v>
      </c>
      <c r="B166" s="176">
        <f>INDEX(Data[FY2026 Budget Enrollment],MATCH(A166,Data[Label],0))</f>
        <v>601.29999999999995</v>
      </c>
      <c r="C166" s="177">
        <f>INDEX(Data[FY26 RPDC Per Student],MATCH(A166,Data[Label],0))</f>
        <v>7988</v>
      </c>
      <c r="D166" s="177">
        <f>INDEX(Data[FY2026 RPDC Total],MATCH(A166,Data[Label],0))</f>
        <v>4803184</v>
      </c>
      <c r="E166" s="177">
        <f>INDEX(Data[FY2026 RPDC Budget Guarantee],MATCH(A166,Data[Label],0))</f>
        <v>37384</v>
      </c>
      <c r="F166" s="193">
        <f t="shared" si="18"/>
        <v>4840568</v>
      </c>
      <c r="G166" s="176">
        <f>INDEX(Data[FY2027 Budget Enrollment],MATCH(A166,Data[Label],0))</f>
        <v>601.20000000000005</v>
      </c>
      <c r="H166" s="177">
        <f t="shared" si="19"/>
        <v>8148</v>
      </c>
      <c r="I166" s="177">
        <f t="shared" si="20"/>
        <v>4898577.6000000006</v>
      </c>
      <c r="J166" s="177">
        <f t="shared" si="21"/>
        <v>0</v>
      </c>
      <c r="K166" s="177">
        <f t="shared" si="22"/>
        <v>4898577.6000000006</v>
      </c>
      <c r="L166" s="177">
        <f t="shared" si="23"/>
        <v>58009.600000000559</v>
      </c>
      <c r="M166" s="178">
        <f t="shared" si="24"/>
        <v>1.1984048153026785E-2</v>
      </c>
      <c r="N166" s="179">
        <f t="shared" si="25"/>
        <v>-9.9999999999909051E-2</v>
      </c>
      <c r="O166" s="180">
        <f t="shared" si="26"/>
        <v>-1.6630633627126069E-4</v>
      </c>
    </row>
    <row r="167" spans="1:15" x14ac:dyDescent="0.55000000000000004">
      <c r="A167" s="198" t="s">
        <v>160</v>
      </c>
      <c r="B167" s="181">
        <f>INDEX(Data[FY2026 Budget Enrollment],MATCH(A167,Data[Label],0))</f>
        <v>2152.9</v>
      </c>
      <c r="C167" s="182">
        <f>INDEX(Data[FY26 RPDC Per Student],MATCH(A167,Data[Label],0))</f>
        <v>7988</v>
      </c>
      <c r="D167" s="182">
        <f>INDEX(Data[FY2026 RPDC Total],MATCH(A167,Data[Label],0))</f>
        <v>17197365</v>
      </c>
      <c r="E167" s="182">
        <f>INDEX(Data[FY2026 RPDC Budget Guarantee],MATCH(A167,Data[Label],0))</f>
        <v>184103</v>
      </c>
      <c r="F167" s="194">
        <f t="shared" si="18"/>
        <v>17381468</v>
      </c>
      <c r="G167" s="181">
        <f>INDEX(Data[FY2027 Budget Enrollment],MATCH(A167,Data[Label],0))</f>
        <v>2146.1</v>
      </c>
      <c r="H167" s="182">
        <f t="shared" si="19"/>
        <v>8148</v>
      </c>
      <c r="I167" s="182">
        <f t="shared" si="20"/>
        <v>17486422.800000001</v>
      </c>
      <c r="J167" s="182">
        <f t="shared" si="21"/>
        <v>0</v>
      </c>
      <c r="K167" s="182">
        <f t="shared" si="22"/>
        <v>17486422.800000001</v>
      </c>
      <c r="L167" s="182">
        <f t="shared" si="23"/>
        <v>104954.80000000075</v>
      </c>
      <c r="M167" s="183">
        <f t="shared" si="24"/>
        <v>6.0383162112659728E-3</v>
      </c>
      <c r="N167" s="184">
        <f t="shared" si="25"/>
        <v>-6.8000000000001819</v>
      </c>
      <c r="O167" s="185">
        <f t="shared" si="26"/>
        <v>-3.1585303544057696E-3</v>
      </c>
    </row>
    <row r="168" spans="1:15" x14ac:dyDescent="0.55000000000000004">
      <c r="A168" s="197" t="s">
        <v>161</v>
      </c>
      <c r="B168" s="176">
        <f>INDEX(Data[FY2026 Budget Enrollment],MATCH(A168,Data[Label],0))</f>
        <v>453.4</v>
      </c>
      <c r="C168" s="177">
        <f>INDEX(Data[FY26 RPDC Per Student],MATCH(A168,Data[Label],0))</f>
        <v>7988</v>
      </c>
      <c r="D168" s="177">
        <f>INDEX(Data[FY2026 RPDC Total],MATCH(A168,Data[Label],0))</f>
        <v>3621759</v>
      </c>
      <c r="E168" s="177">
        <f>INDEX(Data[FY2026 RPDC Budget Guarantee],MATCH(A168,Data[Label],0))</f>
        <v>26057</v>
      </c>
      <c r="F168" s="193">
        <f t="shared" si="18"/>
        <v>3647816</v>
      </c>
      <c r="G168" s="176">
        <f>INDEX(Data[FY2027 Budget Enrollment],MATCH(A168,Data[Label],0))</f>
        <v>424.1</v>
      </c>
      <c r="H168" s="177">
        <f t="shared" si="19"/>
        <v>8148</v>
      </c>
      <c r="I168" s="177">
        <f t="shared" si="20"/>
        <v>3455566.8000000003</v>
      </c>
      <c r="J168" s="177">
        <f t="shared" si="21"/>
        <v>202410</v>
      </c>
      <c r="K168" s="177">
        <f t="shared" si="22"/>
        <v>3657976.8000000003</v>
      </c>
      <c r="L168" s="177">
        <f t="shared" si="23"/>
        <v>10160.800000000279</v>
      </c>
      <c r="M168" s="178">
        <f t="shared" si="24"/>
        <v>2.7854475116070219E-3</v>
      </c>
      <c r="N168" s="179">
        <f t="shared" si="25"/>
        <v>-29.299999999999955</v>
      </c>
      <c r="O168" s="180">
        <f t="shared" si="26"/>
        <v>-6.4622849580943886E-2</v>
      </c>
    </row>
    <row r="169" spans="1:15" x14ac:dyDescent="0.55000000000000004">
      <c r="A169" s="198" t="s">
        <v>162</v>
      </c>
      <c r="B169" s="181">
        <f>INDEX(Data[FY2026 Budget Enrollment],MATCH(A169,Data[Label],0))</f>
        <v>2616.4</v>
      </c>
      <c r="C169" s="182">
        <f>INDEX(Data[FY26 RPDC Per Student],MATCH(A169,Data[Label],0))</f>
        <v>7988</v>
      </c>
      <c r="D169" s="182">
        <f>INDEX(Data[FY2026 RPDC Total],MATCH(A169,Data[Label],0))</f>
        <v>20899803</v>
      </c>
      <c r="E169" s="182">
        <f>INDEX(Data[FY2026 RPDC Budget Guarantee],MATCH(A169,Data[Label],0))</f>
        <v>223541</v>
      </c>
      <c r="F169" s="194">
        <f t="shared" si="18"/>
        <v>21123344</v>
      </c>
      <c r="G169" s="181">
        <f>INDEX(Data[FY2027 Budget Enrollment],MATCH(A169,Data[Label],0))</f>
        <v>2557.4</v>
      </c>
      <c r="H169" s="182">
        <f t="shared" si="19"/>
        <v>8148</v>
      </c>
      <c r="I169" s="182">
        <f t="shared" si="20"/>
        <v>20837695.199999999</v>
      </c>
      <c r="J169" s="182">
        <f t="shared" si="21"/>
        <v>271106</v>
      </c>
      <c r="K169" s="182">
        <f t="shared" si="22"/>
        <v>21108801.199999999</v>
      </c>
      <c r="L169" s="182">
        <f t="shared" si="23"/>
        <v>-14542.800000000745</v>
      </c>
      <c r="M169" s="183">
        <f t="shared" si="24"/>
        <v>-6.8847053761945769E-4</v>
      </c>
      <c r="N169" s="184">
        <f t="shared" si="25"/>
        <v>-59</v>
      </c>
      <c r="O169" s="185">
        <f t="shared" si="26"/>
        <v>-2.2550068796820057E-2</v>
      </c>
    </row>
    <row r="170" spans="1:15" x14ac:dyDescent="0.55000000000000004">
      <c r="A170" s="197" t="s">
        <v>163</v>
      </c>
      <c r="B170" s="176">
        <f>INDEX(Data[FY2026 Budget Enrollment],MATCH(A170,Data[Label],0))</f>
        <v>7493.7</v>
      </c>
      <c r="C170" s="177">
        <f>INDEX(Data[FY26 RPDC Per Student],MATCH(A170,Data[Label],0))</f>
        <v>7988</v>
      </c>
      <c r="D170" s="177">
        <f>INDEX(Data[FY2026 RPDC Total],MATCH(A170,Data[Label],0))</f>
        <v>59859676</v>
      </c>
      <c r="E170" s="177">
        <f>INDEX(Data[FY2026 RPDC Budget Guarantee],MATCH(A170,Data[Label],0))</f>
        <v>0</v>
      </c>
      <c r="F170" s="193">
        <f t="shared" si="18"/>
        <v>59859676</v>
      </c>
      <c r="G170" s="176">
        <f>INDEX(Data[FY2027 Budget Enrollment],MATCH(A170,Data[Label],0))</f>
        <v>7448.7</v>
      </c>
      <c r="H170" s="177">
        <f t="shared" si="19"/>
        <v>8148</v>
      </c>
      <c r="I170" s="177">
        <f t="shared" si="20"/>
        <v>60692007.600000001</v>
      </c>
      <c r="J170" s="177">
        <f t="shared" si="21"/>
        <v>0</v>
      </c>
      <c r="K170" s="177">
        <f t="shared" si="22"/>
        <v>60692007.600000001</v>
      </c>
      <c r="L170" s="177">
        <f t="shared" si="23"/>
        <v>832331.60000000149</v>
      </c>
      <c r="M170" s="178">
        <f t="shared" si="24"/>
        <v>1.3904712748528768E-2</v>
      </c>
      <c r="N170" s="179">
        <f t="shared" si="25"/>
        <v>-45</v>
      </c>
      <c r="O170" s="180">
        <f t="shared" si="26"/>
        <v>-6.0050442371592135E-3</v>
      </c>
    </row>
    <row r="171" spans="1:15" x14ac:dyDescent="0.55000000000000004">
      <c r="A171" s="198" t="s">
        <v>164</v>
      </c>
      <c r="B171" s="181">
        <f>INDEX(Data[FY2026 Budget Enrollment],MATCH(A171,Data[Label],0))</f>
        <v>678.4</v>
      </c>
      <c r="C171" s="182">
        <f>INDEX(Data[FY26 RPDC Per Student],MATCH(A171,Data[Label],0))</f>
        <v>7988</v>
      </c>
      <c r="D171" s="182">
        <f>INDEX(Data[FY2026 RPDC Total],MATCH(A171,Data[Label],0))</f>
        <v>5419059</v>
      </c>
      <c r="E171" s="182">
        <f>INDEX(Data[FY2026 RPDC Budget Guarantee],MATCH(A171,Data[Label],0))</f>
        <v>0</v>
      </c>
      <c r="F171" s="194">
        <f t="shared" si="18"/>
        <v>5419059</v>
      </c>
      <c r="G171" s="181">
        <f>INDEX(Data[FY2027 Budget Enrollment],MATCH(A171,Data[Label],0))</f>
        <v>670.7</v>
      </c>
      <c r="H171" s="182">
        <f t="shared" si="19"/>
        <v>8148</v>
      </c>
      <c r="I171" s="182">
        <f t="shared" si="20"/>
        <v>5464863.6000000006</v>
      </c>
      <c r="J171" s="182">
        <f t="shared" si="21"/>
        <v>8386</v>
      </c>
      <c r="K171" s="182">
        <f t="shared" si="22"/>
        <v>5473249.6000000006</v>
      </c>
      <c r="L171" s="182">
        <f t="shared" si="23"/>
        <v>54190.600000000559</v>
      </c>
      <c r="M171" s="183">
        <f t="shared" si="24"/>
        <v>1.0000001845338934E-2</v>
      </c>
      <c r="N171" s="184">
        <f t="shared" si="25"/>
        <v>-7.6999999999999318</v>
      </c>
      <c r="O171" s="185">
        <f t="shared" si="26"/>
        <v>-1.1350235849056504E-2</v>
      </c>
    </row>
    <row r="172" spans="1:15" x14ac:dyDescent="0.55000000000000004">
      <c r="A172" s="197" t="s">
        <v>165</v>
      </c>
      <c r="B172" s="176">
        <f>INDEX(Data[FY2026 Budget Enrollment],MATCH(A172,Data[Label],0))</f>
        <v>586</v>
      </c>
      <c r="C172" s="177">
        <f>INDEX(Data[FY26 RPDC Per Student],MATCH(A172,Data[Label],0))</f>
        <v>7988</v>
      </c>
      <c r="D172" s="177">
        <f>INDEX(Data[FY2026 RPDC Total],MATCH(A172,Data[Label],0))</f>
        <v>4680968</v>
      </c>
      <c r="E172" s="177">
        <f>INDEX(Data[FY2026 RPDC Budget Guarantee],MATCH(A172,Data[Label],0))</f>
        <v>0</v>
      </c>
      <c r="F172" s="193">
        <f t="shared" si="18"/>
        <v>4680968</v>
      </c>
      <c r="G172" s="176">
        <f>INDEX(Data[FY2027 Budget Enrollment],MATCH(A172,Data[Label],0))</f>
        <v>554.4</v>
      </c>
      <c r="H172" s="177">
        <f t="shared" si="19"/>
        <v>8148</v>
      </c>
      <c r="I172" s="177">
        <f t="shared" si="20"/>
        <v>4517251.2</v>
      </c>
      <c r="J172" s="177">
        <f t="shared" si="21"/>
        <v>210526</v>
      </c>
      <c r="K172" s="177">
        <f t="shared" si="22"/>
        <v>4727777.2</v>
      </c>
      <c r="L172" s="177">
        <f t="shared" si="23"/>
        <v>46809.200000000186</v>
      </c>
      <c r="M172" s="178">
        <f t="shared" si="24"/>
        <v>9.9998974571072017E-3</v>
      </c>
      <c r="N172" s="179">
        <f t="shared" si="25"/>
        <v>-31.600000000000023</v>
      </c>
      <c r="O172" s="180">
        <f t="shared" si="26"/>
        <v>-5.392491467576796E-2</v>
      </c>
    </row>
    <row r="173" spans="1:15" x14ac:dyDescent="0.55000000000000004">
      <c r="A173" s="198" t="s">
        <v>166</v>
      </c>
      <c r="B173" s="181">
        <f>INDEX(Data[FY2026 Budget Enrollment],MATCH(A173,Data[Label],0))</f>
        <v>299.8</v>
      </c>
      <c r="C173" s="182">
        <f>INDEX(Data[FY26 RPDC Per Student],MATCH(A173,Data[Label],0))</f>
        <v>7988</v>
      </c>
      <c r="D173" s="182">
        <f>INDEX(Data[FY2026 RPDC Total],MATCH(A173,Data[Label],0))</f>
        <v>2394802</v>
      </c>
      <c r="E173" s="182">
        <f>INDEX(Data[FY2026 RPDC Budget Guarantee],MATCH(A173,Data[Label],0))</f>
        <v>39710</v>
      </c>
      <c r="F173" s="194">
        <f t="shared" si="18"/>
        <v>2434512</v>
      </c>
      <c r="G173" s="181">
        <f>INDEX(Data[FY2027 Budget Enrollment],MATCH(A173,Data[Label],0))</f>
        <v>286.39999999999998</v>
      </c>
      <c r="H173" s="182">
        <f t="shared" si="19"/>
        <v>8148</v>
      </c>
      <c r="I173" s="182">
        <f t="shared" si="20"/>
        <v>2333587.1999999997</v>
      </c>
      <c r="J173" s="182">
        <f t="shared" si="21"/>
        <v>85163</v>
      </c>
      <c r="K173" s="182">
        <f t="shared" si="22"/>
        <v>2418750.1999999997</v>
      </c>
      <c r="L173" s="182">
        <f t="shared" si="23"/>
        <v>-15761.800000000279</v>
      </c>
      <c r="M173" s="183">
        <f t="shared" si="24"/>
        <v>-6.4743160025501128E-3</v>
      </c>
      <c r="N173" s="184">
        <f t="shared" si="25"/>
        <v>-13.400000000000034</v>
      </c>
      <c r="O173" s="185">
        <f t="shared" si="26"/>
        <v>-4.4696464309539802E-2</v>
      </c>
    </row>
    <row r="174" spans="1:15" x14ac:dyDescent="0.55000000000000004">
      <c r="A174" s="197" t="s">
        <v>167</v>
      </c>
      <c r="B174" s="176">
        <f>INDEX(Data[FY2026 Budget Enrollment],MATCH(A174,Data[Label],0))</f>
        <v>669</v>
      </c>
      <c r="C174" s="177">
        <f>INDEX(Data[FY26 RPDC Per Student],MATCH(A174,Data[Label],0))</f>
        <v>7988</v>
      </c>
      <c r="D174" s="177">
        <f>INDEX(Data[FY2026 RPDC Total],MATCH(A174,Data[Label],0))</f>
        <v>5343972</v>
      </c>
      <c r="E174" s="177">
        <f>INDEX(Data[FY2026 RPDC Budget Guarantee],MATCH(A174,Data[Label],0))</f>
        <v>0</v>
      </c>
      <c r="F174" s="193">
        <f t="shared" si="18"/>
        <v>5343972</v>
      </c>
      <c r="G174" s="176">
        <f>INDEX(Data[FY2027 Budget Enrollment],MATCH(A174,Data[Label],0))</f>
        <v>645.6</v>
      </c>
      <c r="H174" s="177">
        <f t="shared" si="19"/>
        <v>8148</v>
      </c>
      <c r="I174" s="177">
        <f t="shared" si="20"/>
        <v>5260348.8</v>
      </c>
      <c r="J174" s="177">
        <f t="shared" si="21"/>
        <v>137063</v>
      </c>
      <c r="K174" s="177">
        <f t="shared" si="22"/>
        <v>5397411.7999999998</v>
      </c>
      <c r="L174" s="177">
        <f t="shared" si="23"/>
        <v>53439.799999999814</v>
      </c>
      <c r="M174" s="178">
        <f t="shared" si="24"/>
        <v>1.0000014970138282E-2</v>
      </c>
      <c r="N174" s="179">
        <f t="shared" si="25"/>
        <v>-23.399999999999977</v>
      </c>
      <c r="O174" s="180">
        <f t="shared" si="26"/>
        <v>-3.4977578475336286E-2</v>
      </c>
    </row>
    <row r="175" spans="1:15" x14ac:dyDescent="0.55000000000000004">
      <c r="A175" s="198" t="s">
        <v>168</v>
      </c>
      <c r="B175" s="181">
        <f>INDEX(Data[FY2026 Budget Enrollment],MATCH(A175,Data[Label],0))</f>
        <v>425.8</v>
      </c>
      <c r="C175" s="182">
        <f>INDEX(Data[FY26 RPDC Per Student],MATCH(A175,Data[Label],0))</f>
        <v>7988</v>
      </c>
      <c r="D175" s="182">
        <f>INDEX(Data[FY2026 RPDC Total],MATCH(A175,Data[Label],0))</f>
        <v>3401290</v>
      </c>
      <c r="E175" s="182">
        <f>INDEX(Data[FY2026 RPDC Budget Guarantee],MATCH(A175,Data[Label],0))</f>
        <v>56824</v>
      </c>
      <c r="F175" s="194">
        <f t="shared" si="18"/>
        <v>3458114</v>
      </c>
      <c r="G175" s="181">
        <f>INDEX(Data[FY2027 Budget Enrollment],MATCH(A175,Data[Label],0))</f>
        <v>427.7</v>
      </c>
      <c r="H175" s="182">
        <f t="shared" si="19"/>
        <v>8148</v>
      </c>
      <c r="I175" s="182">
        <f t="shared" si="20"/>
        <v>3484899.6</v>
      </c>
      <c r="J175" s="182">
        <f t="shared" si="21"/>
        <v>0</v>
      </c>
      <c r="K175" s="182">
        <f t="shared" si="22"/>
        <v>3484899.6</v>
      </c>
      <c r="L175" s="182">
        <f t="shared" si="23"/>
        <v>26785.600000000093</v>
      </c>
      <c r="M175" s="183">
        <f t="shared" si="24"/>
        <v>7.7457249818832152E-3</v>
      </c>
      <c r="N175" s="184">
        <f t="shared" si="25"/>
        <v>1.8999999999999773</v>
      </c>
      <c r="O175" s="185">
        <f t="shared" si="26"/>
        <v>4.4621888210426893E-3</v>
      </c>
    </row>
    <row r="176" spans="1:15" x14ac:dyDescent="0.55000000000000004">
      <c r="A176" s="197" t="s">
        <v>169</v>
      </c>
      <c r="B176" s="176">
        <f>INDEX(Data[FY2026 Budget Enrollment],MATCH(A176,Data[Label],0))</f>
        <v>794.9</v>
      </c>
      <c r="C176" s="177">
        <f>INDEX(Data[FY26 RPDC Per Student],MATCH(A176,Data[Label],0))</f>
        <v>7988</v>
      </c>
      <c r="D176" s="177">
        <f>INDEX(Data[FY2026 RPDC Total],MATCH(A176,Data[Label],0))</f>
        <v>6349661</v>
      </c>
      <c r="E176" s="177">
        <f>INDEX(Data[FY2026 RPDC Budget Guarantee],MATCH(A176,Data[Label],0))</f>
        <v>72610</v>
      </c>
      <c r="F176" s="193">
        <f t="shared" si="18"/>
        <v>6422271</v>
      </c>
      <c r="G176" s="176">
        <f>INDEX(Data[FY2027 Budget Enrollment],MATCH(A176,Data[Label],0))</f>
        <v>800.1</v>
      </c>
      <c r="H176" s="177">
        <f t="shared" si="19"/>
        <v>8148</v>
      </c>
      <c r="I176" s="177">
        <f t="shared" si="20"/>
        <v>6519214.7999999998</v>
      </c>
      <c r="J176" s="177">
        <f t="shared" si="21"/>
        <v>0</v>
      </c>
      <c r="K176" s="177">
        <f t="shared" si="22"/>
        <v>6519214.7999999998</v>
      </c>
      <c r="L176" s="177">
        <f t="shared" si="23"/>
        <v>96943.799999999814</v>
      </c>
      <c r="M176" s="178">
        <f t="shared" si="24"/>
        <v>1.5094940714896617E-2</v>
      </c>
      <c r="N176" s="179">
        <f t="shared" si="25"/>
        <v>5.2000000000000455</v>
      </c>
      <c r="O176" s="180">
        <f t="shared" si="26"/>
        <v>6.5417033589131278E-3</v>
      </c>
    </row>
    <row r="177" spans="1:15" x14ac:dyDescent="0.55000000000000004">
      <c r="A177" s="198" t="s">
        <v>170</v>
      </c>
      <c r="B177" s="181">
        <f>INDEX(Data[FY2026 Budget Enrollment],MATCH(A177,Data[Label],0))</f>
        <v>619.5</v>
      </c>
      <c r="C177" s="182">
        <f>INDEX(Data[FY26 RPDC Per Student],MATCH(A177,Data[Label],0))</f>
        <v>7988</v>
      </c>
      <c r="D177" s="182">
        <f>INDEX(Data[FY2026 RPDC Total],MATCH(A177,Data[Label],0))</f>
        <v>4948566</v>
      </c>
      <c r="E177" s="182">
        <f>INDEX(Data[FY2026 RPDC Budget Guarantee],MATCH(A177,Data[Label],0))</f>
        <v>139406</v>
      </c>
      <c r="F177" s="194">
        <f t="shared" si="18"/>
        <v>5087972</v>
      </c>
      <c r="G177" s="181">
        <f>INDEX(Data[FY2027 Budget Enrollment],MATCH(A177,Data[Label],0))</f>
        <v>620.1</v>
      </c>
      <c r="H177" s="182">
        <f t="shared" si="19"/>
        <v>8148</v>
      </c>
      <c r="I177" s="182">
        <f t="shared" si="20"/>
        <v>5052574.8</v>
      </c>
      <c r="J177" s="182">
        <f t="shared" si="21"/>
        <v>0</v>
      </c>
      <c r="K177" s="182">
        <f t="shared" si="22"/>
        <v>5052574.8</v>
      </c>
      <c r="L177" s="182">
        <f t="shared" si="23"/>
        <v>-35397.200000000186</v>
      </c>
      <c r="M177" s="183">
        <f t="shared" si="24"/>
        <v>-6.9570351409166927E-3</v>
      </c>
      <c r="N177" s="184">
        <f t="shared" si="25"/>
        <v>0.60000000000002274</v>
      </c>
      <c r="O177" s="185">
        <f t="shared" si="26"/>
        <v>9.6852300242134415E-4</v>
      </c>
    </row>
    <row r="178" spans="1:15" x14ac:dyDescent="0.55000000000000004">
      <c r="A178" s="197" t="s">
        <v>171</v>
      </c>
      <c r="B178" s="176">
        <f>INDEX(Data[FY2026 Budget Enrollment],MATCH(A178,Data[Label],0))</f>
        <v>660.3</v>
      </c>
      <c r="C178" s="177">
        <f>INDEX(Data[FY26 RPDC Per Student],MATCH(A178,Data[Label],0))</f>
        <v>8008</v>
      </c>
      <c r="D178" s="177">
        <f>INDEX(Data[FY2026 RPDC Total],MATCH(A178,Data[Label],0))</f>
        <v>5287682</v>
      </c>
      <c r="E178" s="177">
        <f>INDEX(Data[FY2026 RPDC Budget Guarantee],MATCH(A178,Data[Label],0))</f>
        <v>0</v>
      </c>
      <c r="F178" s="193">
        <f t="shared" si="18"/>
        <v>5287682</v>
      </c>
      <c r="G178" s="176">
        <f>INDEX(Data[FY2027 Budget Enrollment],MATCH(A178,Data[Label],0))</f>
        <v>641.29999999999995</v>
      </c>
      <c r="H178" s="177">
        <f t="shared" si="19"/>
        <v>8168</v>
      </c>
      <c r="I178" s="177">
        <f t="shared" si="20"/>
        <v>5238138.3999999994</v>
      </c>
      <c r="J178" s="177">
        <f t="shared" si="21"/>
        <v>102420</v>
      </c>
      <c r="K178" s="177">
        <f t="shared" si="22"/>
        <v>5340558.3999999994</v>
      </c>
      <c r="L178" s="177">
        <f t="shared" si="23"/>
        <v>52876.399999999441</v>
      </c>
      <c r="M178" s="178">
        <f t="shared" si="24"/>
        <v>9.9999205701098211E-3</v>
      </c>
      <c r="N178" s="179">
        <f t="shared" si="25"/>
        <v>-19</v>
      </c>
      <c r="O178" s="180">
        <f t="shared" si="26"/>
        <v>-2.8774799333636226E-2</v>
      </c>
    </row>
    <row r="179" spans="1:15" x14ac:dyDescent="0.55000000000000004">
      <c r="A179" s="198" t="s">
        <v>172</v>
      </c>
      <c r="B179" s="181">
        <f>INDEX(Data[FY2026 Budget Enrollment],MATCH(A179,Data[Label],0))</f>
        <v>560.29999999999995</v>
      </c>
      <c r="C179" s="182">
        <f>INDEX(Data[FY26 RPDC Per Student],MATCH(A179,Data[Label],0))</f>
        <v>8055</v>
      </c>
      <c r="D179" s="182">
        <f>INDEX(Data[FY2026 RPDC Total],MATCH(A179,Data[Label],0))</f>
        <v>4513217</v>
      </c>
      <c r="E179" s="182">
        <f>INDEX(Data[FY2026 RPDC Budget Guarantee],MATCH(A179,Data[Label],0))</f>
        <v>69558</v>
      </c>
      <c r="F179" s="194">
        <f t="shared" si="18"/>
        <v>4582775</v>
      </c>
      <c r="G179" s="181">
        <f>INDEX(Data[FY2027 Budget Enrollment],MATCH(A179,Data[Label],0))</f>
        <v>535.5</v>
      </c>
      <c r="H179" s="182">
        <f t="shared" si="19"/>
        <v>8215</v>
      </c>
      <c r="I179" s="182">
        <f t="shared" si="20"/>
        <v>4399132.5</v>
      </c>
      <c r="J179" s="182">
        <f t="shared" si="21"/>
        <v>159217</v>
      </c>
      <c r="K179" s="182">
        <f t="shared" si="22"/>
        <v>4558349.5</v>
      </c>
      <c r="L179" s="182">
        <f t="shared" si="23"/>
        <v>-24425.5</v>
      </c>
      <c r="M179" s="183">
        <f t="shared" si="24"/>
        <v>-5.3298492725477467E-3</v>
      </c>
      <c r="N179" s="184">
        <f t="shared" si="25"/>
        <v>-24.799999999999955</v>
      </c>
      <c r="O179" s="185">
        <f t="shared" si="26"/>
        <v>-4.4262002498661357E-2</v>
      </c>
    </row>
    <row r="180" spans="1:15" x14ac:dyDescent="0.55000000000000004">
      <c r="A180" s="197" t="s">
        <v>173</v>
      </c>
      <c r="B180" s="176">
        <f>INDEX(Data[FY2026 Budget Enrollment],MATCH(A180,Data[Label],0))</f>
        <v>1201.3</v>
      </c>
      <c r="C180" s="177">
        <f>INDEX(Data[FY26 RPDC Per Student],MATCH(A180,Data[Label],0))</f>
        <v>7988</v>
      </c>
      <c r="D180" s="177">
        <f>INDEX(Data[FY2026 RPDC Total],MATCH(A180,Data[Label],0))</f>
        <v>9595984</v>
      </c>
      <c r="E180" s="177">
        <f>INDEX(Data[FY2026 RPDC Budget Guarantee],MATCH(A180,Data[Label],0))</f>
        <v>164986</v>
      </c>
      <c r="F180" s="193">
        <f t="shared" si="18"/>
        <v>9760970</v>
      </c>
      <c r="G180" s="176">
        <f>INDEX(Data[FY2027 Budget Enrollment],MATCH(A180,Data[Label],0))</f>
        <v>1134.5999999999999</v>
      </c>
      <c r="H180" s="177">
        <f t="shared" si="19"/>
        <v>8148</v>
      </c>
      <c r="I180" s="177">
        <f t="shared" si="20"/>
        <v>9244720.7999999989</v>
      </c>
      <c r="J180" s="177">
        <f t="shared" si="21"/>
        <v>447223</v>
      </c>
      <c r="K180" s="177">
        <f t="shared" si="22"/>
        <v>9691943.7999999989</v>
      </c>
      <c r="L180" s="177">
        <f t="shared" si="23"/>
        <v>-69026.200000001118</v>
      </c>
      <c r="M180" s="178">
        <f t="shared" si="24"/>
        <v>-7.0716537393313494E-3</v>
      </c>
      <c r="N180" s="179">
        <f t="shared" si="25"/>
        <v>-66.700000000000045</v>
      </c>
      <c r="O180" s="180">
        <f t="shared" si="26"/>
        <v>-5.5523183218180346E-2</v>
      </c>
    </row>
    <row r="181" spans="1:15" x14ac:dyDescent="0.55000000000000004">
      <c r="A181" s="198" t="s">
        <v>174</v>
      </c>
      <c r="B181" s="181">
        <f>INDEX(Data[FY2026 Budget Enrollment],MATCH(A181,Data[Label],0))</f>
        <v>671.9</v>
      </c>
      <c r="C181" s="182">
        <f>INDEX(Data[FY26 RPDC Per Student],MATCH(A181,Data[Label],0))</f>
        <v>7988</v>
      </c>
      <c r="D181" s="182">
        <f>INDEX(Data[FY2026 RPDC Total],MATCH(A181,Data[Label],0))</f>
        <v>5367137</v>
      </c>
      <c r="E181" s="182">
        <f>INDEX(Data[FY2026 RPDC Budget Guarantee],MATCH(A181,Data[Label],0))</f>
        <v>0</v>
      </c>
      <c r="F181" s="194">
        <f t="shared" si="18"/>
        <v>5367137</v>
      </c>
      <c r="G181" s="181">
        <f>INDEX(Data[FY2027 Budget Enrollment],MATCH(A181,Data[Label],0))</f>
        <v>673</v>
      </c>
      <c r="H181" s="182">
        <f t="shared" si="19"/>
        <v>8148</v>
      </c>
      <c r="I181" s="182">
        <f t="shared" si="20"/>
        <v>5483604</v>
      </c>
      <c r="J181" s="182">
        <f t="shared" si="21"/>
        <v>0</v>
      </c>
      <c r="K181" s="182">
        <f t="shared" si="22"/>
        <v>5483604</v>
      </c>
      <c r="L181" s="182">
        <f t="shared" si="23"/>
        <v>116467</v>
      </c>
      <c r="M181" s="183">
        <f t="shared" si="24"/>
        <v>2.1700023681154403E-2</v>
      </c>
      <c r="N181" s="184">
        <f t="shared" si="25"/>
        <v>1.1000000000000227</v>
      </c>
      <c r="O181" s="185">
        <f t="shared" si="26"/>
        <v>1.6371483851763994E-3</v>
      </c>
    </row>
    <row r="182" spans="1:15" x14ac:dyDescent="0.55000000000000004">
      <c r="A182" s="197" t="s">
        <v>175</v>
      </c>
      <c r="B182" s="176">
        <f>INDEX(Data[FY2026 Budget Enrollment],MATCH(A182,Data[Label],0))</f>
        <v>444.8</v>
      </c>
      <c r="C182" s="177">
        <f>INDEX(Data[FY26 RPDC Per Student],MATCH(A182,Data[Label],0))</f>
        <v>7988</v>
      </c>
      <c r="D182" s="177">
        <f>INDEX(Data[FY2026 RPDC Total],MATCH(A182,Data[Label],0))</f>
        <v>3553062</v>
      </c>
      <c r="E182" s="177">
        <f>INDEX(Data[FY2026 RPDC Budget Guarantee],MATCH(A182,Data[Label],0))</f>
        <v>124790</v>
      </c>
      <c r="F182" s="193">
        <f t="shared" si="18"/>
        <v>3677852</v>
      </c>
      <c r="G182" s="176">
        <f>INDEX(Data[FY2027 Budget Enrollment],MATCH(A182,Data[Label],0))</f>
        <v>454.3</v>
      </c>
      <c r="H182" s="177">
        <f t="shared" si="19"/>
        <v>8148</v>
      </c>
      <c r="I182" s="177">
        <f t="shared" si="20"/>
        <v>3701636.4</v>
      </c>
      <c r="J182" s="177">
        <f t="shared" si="21"/>
        <v>0</v>
      </c>
      <c r="K182" s="177">
        <f t="shared" si="22"/>
        <v>3701636.4</v>
      </c>
      <c r="L182" s="177">
        <f t="shared" si="23"/>
        <v>23784.399999999907</v>
      </c>
      <c r="M182" s="178">
        <f t="shared" si="24"/>
        <v>6.4669268910222347E-3</v>
      </c>
      <c r="N182" s="179">
        <f t="shared" si="25"/>
        <v>9.5</v>
      </c>
      <c r="O182" s="180">
        <f t="shared" si="26"/>
        <v>2.1357913669064747E-2</v>
      </c>
    </row>
    <row r="183" spans="1:15" x14ac:dyDescent="0.55000000000000004">
      <c r="A183" s="198" t="s">
        <v>176</v>
      </c>
      <c r="B183" s="181">
        <f>INDEX(Data[FY2026 Budget Enrollment],MATCH(A183,Data[Label],0))</f>
        <v>1706.9</v>
      </c>
      <c r="C183" s="182">
        <f>INDEX(Data[FY26 RPDC Per Student],MATCH(A183,Data[Label],0))</f>
        <v>8050</v>
      </c>
      <c r="D183" s="182">
        <f>INDEX(Data[FY2026 RPDC Total],MATCH(A183,Data[Label],0))</f>
        <v>13740545</v>
      </c>
      <c r="E183" s="182">
        <f>INDEX(Data[FY2026 RPDC Budget Guarantee],MATCH(A183,Data[Label],0))</f>
        <v>213521</v>
      </c>
      <c r="F183" s="194">
        <f t="shared" si="18"/>
        <v>13954066</v>
      </c>
      <c r="G183" s="181">
        <f>INDEX(Data[FY2027 Budget Enrollment],MATCH(A183,Data[Label],0))</f>
        <v>1704.6</v>
      </c>
      <c r="H183" s="182">
        <f t="shared" si="19"/>
        <v>8210</v>
      </c>
      <c r="I183" s="182">
        <f t="shared" si="20"/>
        <v>13994766</v>
      </c>
      <c r="J183" s="182">
        <f t="shared" si="21"/>
        <v>0</v>
      </c>
      <c r="K183" s="182">
        <f t="shared" si="22"/>
        <v>13994766</v>
      </c>
      <c r="L183" s="182">
        <f t="shared" si="23"/>
        <v>40700</v>
      </c>
      <c r="M183" s="183">
        <f t="shared" si="24"/>
        <v>2.916712591154435E-3</v>
      </c>
      <c r="N183" s="184">
        <f t="shared" si="25"/>
        <v>-2.3000000000001819</v>
      </c>
      <c r="O183" s="185">
        <f t="shared" si="26"/>
        <v>-1.3474720253091462E-3</v>
      </c>
    </row>
    <row r="184" spans="1:15" x14ac:dyDescent="0.55000000000000004">
      <c r="A184" s="197" t="s">
        <v>177</v>
      </c>
      <c r="B184" s="176">
        <f>INDEX(Data[FY2026 Budget Enrollment],MATCH(A184,Data[Label],0))</f>
        <v>5380.3</v>
      </c>
      <c r="C184" s="177">
        <f>INDEX(Data[FY26 RPDC Per Student],MATCH(A184,Data[Label],0))</f>
        <v>7989</v>
      </c>
      <c r="D184" s="177">
        <f>INDEX(Data[FY2026 RPDC Total],MATCH(A184,Data[Label],0))</f>
        <v>42983217</v>
      </c>
      <c r="E184" s="177">
        <f>INDEX(Data[FY2026 RPDC Budget Guarantee],MATCH(A184,Data[Label],0))</f>
        <v>0</v>
      </c>
      <c r="F184" s="193">
        <f t="shared" si="18"/>
        <v>42983217</v>
      </c>
      <c r="G184" s="176">
        <f>INDEX(Data[FY2027 Budget Enrollment],MATCH(A184,Data[Label],0))</f>
        <v>5297.2</v>
      </c>
      <c r="H184" s="177">
        <f t="shared" si="19"/>
        <v>8149</v>
      </c>
      <c r="I184" s="177">
        <f t="shared" si="20"/>
        <v>43166882.799999997</v>
      </c>
      <c r="J184" s="177">
        <f t="shared" si="21"/>
        <v>246166</v>
      </c>
      <c r="K184" s="177">
        <f t="shared" si="22"/>
        <v>43413048.799999997</v>
      </c>
      <c r="L184" s="177">
        <f t="shared" si="23"/>
        <v>429831.79999999702</v>
      </c>
      <c r="M184" s="178">
        <f t="shared" si="24"/>
        <v>9.9999913919890417E-3</v>
      </c>
      <c r="N184" s="179">
        <f t="shared" si="25"/>
        <v>-83.100000000000364</v>
      </c>
      <c r="O184" s="180">
        <f t="shared" si="26"/>
        <v>-1.544523539579584E-2</v>
      </c>
    </row>
    <row r="185" spans="1:15" x14ac:dyDescent="0.55000000000000004">
      <c r="A185" s="198" t="s">
        <v>178</v>
      </c>
      <c r="B185" s="181">
        <f>INDEX(Data[FY2026 Budget Enrollment],MATCH(A185,Data[Label],0))</f>
        <v>474</v>
      </c>
      <c r="C185" s="182">
        <f>INDEX(Data[FY26 RPDC Per Student],MATCH(A185,Data[Label],0))</f>
        <v>7988</v>
      </c>
      <c r="D185" s="182">
        <f>INDEX(Data[FY2026 RPDC Total],MATCH(A185,Data[Label],0))</f>
        <v>3786312</v>
      </c>
      <c r="E185" s="182">
        <f>INDEX(Data[FY2026 RPDC Budget Guarantee],MATCH(A185,Data[Label],0))</f>
        <v>67015</v>
      </c>
      <c r="F185" s="194">
        <f t="shared" si="18"/>
        <v>3853327</v>
      </c>
      <c r="G185" s="181">
        <f>INDEX(Data[FY2027 Budget Enrollment],MATCH(A185,Data[Label],0))</f>
        <v>466.8</v>
      </c>
      <c r="H185" s="182">
        <f t="shared" si="19"/>
        <v>8148</v>
      </c>
      <c r="I185" s="182">
        <f t="shared" si="20"/>
        <v>3803486.4</v>
      </c>
      <c r="J185" s="182">
        <f t="shared" si="21"/>
        <v>20689</v>
      </c>
      <c r="K185" s="182">
        <f t="shared" si="22"/>
        <v>3824175.4</v>
      </c>
      <c r="L185" s="182">
        <f t="shared" si="23"/>
        <v>-29151.600000000093</v>
      </c>
      <c r="M185" s="183">
        <f t="shared" si="24"/>
        <v>-7.5653065519744609E-3</v>
      </c>
      <c r="N185" s="184">
        <f t="shared" si="25"/>
        <v>-7.1999999999999886</v>
      </c>
      <c r="O185" s="185">
        <f t="shared" si="26"/>
        <v>-1.5189873417721496E-2</v>
      </c>
    </row>
    <row r="186" spans="1:15" x14ac:dyDescent="0.55000000000000004">
      <c r="A186" s="197" t="s">
        <v>179</v>
      </c>
      <c r="B186" s="176">
        <f>INDEX(Data[FY2026 Budget Enrollment],MATCH(A186,Data[Label],0))</f>
        <v>3280.2</v>
      </c>
      <c r="C186" s="177">
        <f>INDEX(Data[FY26 RPDC Per Student],MATCH(A186,Data[Label],0))</f>
        <v>8020</v>
      </c>
      <c r="D186" s="177">
        <f>INDEX(Data[FY2026 RPDC Total],MATCH(A186,Data[Label],0))</f>
        <v>26307204</v>
      </c>
      <c r="E186" s="177">
        <f>INDEX(Data[FY2026 RPDC Budget Guarantee],MATCH(A186,Data[Label],0))</f>
        <v>305198</v>
      </c>
      <c r="F186" s="193">
        <f t="shared" si="18"/>
        <v>26612402</v>
      </c>
      <c r="G186" s="176">
        <f>INDEX(Data[FY2027 Budget Enrollment],MATCH(A186,Data[Label],0))</f>
        <v>3286.8</v>
      </c>
      <c r="H186" s="177">
        <f t="shared" si="19"/>
        <v>8180</v>
      </c>
      <c r="I186" s="177">
        <f t="shared" si="20"/>
        <v>26886024</v>
      </c>
      <c r="J186" s="177">
        <f t="shared" si="21"/>
        <v>0</v>
      </c>
      <c r="K186" s="177">
        <f t="shared" si="22"/>
        <v>26886024</v>
      </c>
      <c r="L186" s="177">
        <f t="shared" si="23"/>
        <v>273622</v>
      </c>
      <c r="M186" s="178">
        <f t="shared" si="24"/>
        <v>1.0281747585204823E-2</v>
      </c>
      <c r="N186" s="179">
        <f t="shared" si="25"/>
        <v>6.6000000000003638</v>
      </c>
      <c r="O186" s="180">
        <f t="shared" si="26"/>
        <v>2.0120724346077571E-3</v>
      </c>
    </row>
    <row r="187" spans="1:15" x14ac:dyDescent="0.55000000000000004">
      <c r="A187" s="198" t="s">
        <v>180</v>
      </c>
      <c r="B187" s="181">
        <f>INDEX(Data[FY2026 Budget Enrollment],MATCH(A187,Data[Label],0))</f>
        <v>870.6</v>
      </c>
      <c r="C187" s="182">
        <f>INDEX(Data[FY26 RPDC Per Student],MATCH(A187,Data[Label],0))</f>
        <v>7988</v>
      </c>
      <c r="D187" s="182">
        <f>INDEX(Data[FY2026 RPDC Total],MATCH(A187,Data[Label],0))</f>
        <v>6954353</v>
      </c>
      <c r="E187" s="182">
        <f>INDEX(Data[FY2026 RPDC Budget Guarantee],MATCH(A187,Data[Label],0))</f>
        <v>48031</v>
      </c>
      <c r="F187" s="194">
        <f t="shared" si="18"/>
        <v>7002384</v>
      </c>
      <c r="G187" s="181">
        <f>INDEX(Data[FY2027 Budget Enrollment],MATCH(A187,Data[Label],0))</f>
        <v>861.1</v>
      </c>
      <c r="H187" s="182">
        <f t="shared" si="19"/>
        <v>8148</v>
      </c>
      <c r="I187" s="182">
        <f t="shared" si="20"/>
        <v>7016242.7999999998</v>
      </c>
      <c r="J187" s="182">
        <f t="shared" si="21"/>
        <v>7654</v>
      </c>
      <c r="K187" s="182">
        <f t="shared" si="22"/>
        <v>7023896.7999999998</v>
      </c>
      <c r="L187" s="182">
        <f t="shared" si="23"/>
        <v>21512.799999999814</v>
      </c>
      <c r="M187" s="183">
        <f t="shared" si="24"/>
        <v>3.0722108356239551E-3</v>
      </c>
      <c r="N187" s="184">
        <f t="shared" si="25"/>
        <v>-9.5</v>
      </c>
      <c r="O187" s="185">
        <f t="shared" si="26"/>
        <v>-1.091201470250402E-2</v>
      </c>
    </row>
    <row r="188" spans="1:15" x14ac:dyDescent="0.55000000000000004">
      <c r="A188" s="197" t="s">
        <v>181</v>
      </c>
      <c r="B188" s="176">
        <f>INDEX(Data[FY2026 Budget Enrollment],MATCH(A188,Data[Label],0))</f>
        <v>287.39999999999998</v>
      </c>
      <c r="C188" s="177">
        <f>INDEX(Data[FY26 RPDC Per Student],MATCH(A188,Data[Label],0))</f>
        <v>7988</v>
      </c>
      <c r="D188" s="177">
        <f>INDEX(Data[FY2026 RPDC Total],MATCH(A188,Data[Label],0))</f>
        <v>2295751</v>
      </c>
      <c r="E188" s="177">
        <f>INDEX(Data[FY2026 RPDC Budget Guarantee],MATCH(A188,Data[Label],0))</f>
        <v>0</v>
      </c>
      <c r="F188" s="193">
        <f t="shared" si="18"/>
        <v>2295751</v>
      </c>
      <c r="G188" s="176">
        <f>INDEX(Data[FY2027 Budget Enrollment],MATCH(A188,Data[Label],0))</f>
        <v>291.2</v>
      </c>
      <c r="H188" s="177">
        <f t="shared" si="19"/>
        <v>8148</v>
      </c>
      <c r="I188" s="177">
        <f t="shared" si="20"/>
        <v>2372697.6</v>
      </c>
      <c r="J188" s="177">
        <f t="shared" si="21"/>
        <v>0</v>
      </c>
      <c r="K188" s="177">
        <f t="shared" si="22"/>
        <v>2372697.6</v>
      </c>
      <c r="L188" s="177">
        <f t="shared" si="23"/>
        <v>76946.600000000093</v>
      </c>
      <c r="M188" s="178">
        <f t="shared" si="24"/>
        <v>3.3516962423189661E-2</v>
      </c>
      <c r="N188" s="179">
        <f t="shared" si="25"/>
        <v>3.8000000000000114</v>
      </c>
      <c r="O188" s="180">
        <f t="shared" si="26"/>
        <v>1.3221990257480904E-2</v>
      </c>
    </row>
    <row r="189" spans="1:15" x14ac:dyDescent="0.55000000000000004">
      <c r="A189" s="198" t="s">
        <v>182</v>
      </c>
      <c r="B189" s="181">
        <f>INDEX(Data[FY2026 Budget Enrollment],MATCH(A189,Data[Label],0))</f>
        <v>1154.5999999999999</v>
      </c>
      <c r="C189" s="182">
        <f>INDEX(Data[FY26 RPDC Per Student],MATCH(A189,Data[Label],0))</f>
        <v>7988</v>
      </c>
      <c r="D189" s="182">
        <f>INDEX(Data[FY2026 RPDC Total],MATCH(A189,Data[Label],0))</f>
        <v>9222945</v>
      </c>
      <c r="E189" s="182">
        <f>INDEX(Data[FY2026 RPDC Budget Guarantee],MATCH(A189,Data[Label],0))</f>
        <v>215532</v>
      </c>
      <c r="F189" s="194">
        <f t="shared" si="18"/>
        <v>9438477</v>
      </c>
      <c r="G189" s="181">
        <f>INDEX(Data[FY2027 Budget Enrollment],MATCH(A189,Data[Label],0))</f>
        <v>1150.0999999999999</v>
      </c>
      <c r="H189" s="182">
        <f t="shared" si="19"/>
        <v>8148</v>
      </c>
      <c r="I189" s="182">
        <f t="shared" si="20"/>
        <v>9371014.7999999989</v>
      </c>
      <c r="J189" s="182">
        <f t="shared" si="21"/>
        <v>0</v>
      </c>
      <c r="K189" s="182">
        <f t="shared" si="22"/>
        <v>9371014.7999999989</v>
      </c>
      <c r="L189" s="182">
        <f t="shared" si="23"/>
        <v>-67462.200000001118</v>
      </c>
      <c r="M189" s="183">
        <f t="shared" si="24"/>
        <v>-7.1475726433407761E-3</v>
      </c>
      <c r="N189" s="184">
        <f t="shared" si="25"/>
        <v>-4.5</v>
      </c>
      <c r="O189" s="185">
        <f t="shared" si="26"/>
        <v>-3.897453663606444E-3</v>
      </c>
    </row>
    <row r="190" spans="1:15" x14ac:dyDescent="0.55000000000000004">
      <c r="A190" s="197" t="s">
        <v>183</v>
      </c>
      <c r="B190" s="176">
        <f>INDEX(Data[FY2026 Budget Enrollment],MATCH(A190,Data[Label],0))</f>
        <v>493.7</v>
      </c>
      <c r="C190" s="177">
        <f>INDEX(Data[FY26 RPDC Per Student],MATCH(A190,Data[Label],0))</f>
        <v>8037</v>
      </c>
      <c r="D190" s="177">
        <f>INDEX(Data[FY2026 RPDC Total],MATCH(A190,Data[Label],0))</f>
        <v>3967867</v>
      </c>
      <c r="E190" s="177">
        <f>INDEX(Data[FY2026 RPDC Budget Guarantee],MATCH(A190,Data[Label],0))</f>
        <v>0</v>
      </c>
      <c r="F190" s="193">
        <f t="shared" si="18"/>
        <v>3967867</v>
      </c>
      <c r="G190" s="176">
        <f>INDEX(Data[FY2027 Budget Enrollment],MATCH(A190,Data[Label],0))</f>
        <v>478.5</v>
      </c>
      <c r="H190" s="177">
        <f t="shared" si="19"/>
        <v>8197</v>
      </c>
      <c r="I190" s="177">
        <f t="shared" si="20"/>
        <v>3922264.5</v>
      </c>
      <c r="J190" s="177">
        <f t="shared" si="21"/>
        <v>85281</v>
      </c>
      <c r="K190" s="177">
        <f t="shared" si="22"/>
        <v>4007545.5</v>
      </c>
      <c r="L190" s="177">
        <f t="shared" si="23"/>
        <v>39678.5</v>
      </c>
      <c r="M190" s="178">
        <f t="shared" si="24"/>
        <v>9.9999571558220066E-3</v>
      </c>
      <c r="N190" s="179">
        <f t="shared" si="25"/>
        <v>-15.199999999999989</v>
      </c>
      <c r="O190" s="180">
        <f t="shared" si="26"/>
        <v>-3.0787927891432022E-2</v>
      </c>
    </row>
    <row r="191" spans="1:15" x14ac:dyDescent="0.55000000000000004">
      <c r="A191" s="198" t="s">
        <v>184</v>
      </c>
      <c r="B191" s="181">
        <f>INDEX(Data[FY2026 Budget Enrollment],MATCH(A191,Data[Label],0))</f>
        <v>732.6</v>
      </c>
      <c r="C191" s="182">
        <f>INDEX(Data[FY26 RPDC Per Student],MATCH(A191,Data[Label],0))</f>
        <v>7988</v>
      </c>
      <c r="D191" s="182">
        <f>INDEX(Data[FY2026 RPDC Total],MATCH(A191,Data[Label],0))</f>
        <v>5852009</v>
      </c>
      <c r="E191" s="182">
        <f>INDEX(Data[FY2026 RPDC Budget Guarantee],MATCH(A191,Data[Label],0))</f>
        <v>0</v>
      </c>
      <c r="F191" s="194">
        <f t="shared" si="18"/>
        <v>5852009</v>
      </c>
      <c r="G191" s="181">
        <f>INDEX(Data[FY2027 Budget Enrollment],MATCH(A191,Data[Label],0))</f>
        <v>713.3</v>
      </c>
      <c r="H191" s="182">
        <f t="shared" si="19"/>
        <v>8148</v>
      </c>
      <c r="I191" s="182">
        <f t="shared" si="20"/>
        <v>5811968.3999999994</v>
      </c>
      <c r="J191" s="182">
        <f t="shared" si="21"/>
        <v>98561</v>
      </c>
      <c r="K191" s="182">
        <f t="shared" si="22"/>
        <v>5910529.3999999994</v>
      </c>
      <c r="L191" s="182">
        <f t="shared" si="23"/>
        <v>58520.399999999441</v>
      </c>
      <c r="M191" s="183">
        <f t="shared" si="24"/>
        <v>1.0000052973260882E-2</v>
      </c>
      <c r="N191" s="184">
        <f t="shared" si="25"/>
        <v>-19.300000000000068</v>
      </c>
      <c r="O191" s="185">
        <f t="shared" si="26"/>
        <v>-2.6344526344526435E-2</v>
      </c>
    </row>
    <row r="192" spans="1:15" x14ac:dyDescent="0.55000000000000004">
      <c r="A192" s="197" t="s">
        <v>185</v>
      </c>
      <c r="B192" s="176">
        <f>INDEX(Data[FY2026 Budget Enrollment],MATCH(A192,Data[Label],0))</f>
        <v>1529.5</v>
      </c>
      <c r="C192" s="177">
        <f>INDEX(Data[FY26 RPDC Per Student],MATCH(A192,Data[Label],0))</f>
        <v>7988</v>
      </c>
      <c r="D192" s="177">
        <f>INDEX(Data[FY2026 RPDC Total],MATCH(A192,Data[Label],0))</f>
        <v>12217646</v>
      </c>
      <c r="E192" s="177">
        <f>INDEX(Data[FY2026 RPDC Budget Guarantee],MATCH(A192,Data[Label],0))</f>
        <v>0</v>
      </c>
      <c r="F192" s="193">
        <f t="shared" si="18"/>
        <v>12217646</v>
      </c>
      <c r="G192" s="176">
        <f>INDEX(Data[FY2027 Budget Enrollment],MATCH(A192,Data[Label],0))</f>
        <v>1491.6</v>
      </c>
      <c r="H192" s="177">
        <f t="shared" si="19"/>
        <v>8148</v>
      </c>
      <c r="I192" s="177">
        <f t="shared" si="20"/>
        <v>12153556.799999999</v>
      </c>
      <c r="J192" s="177">
        <f t="shared" si="21"/>
        <v>186266</v>
      </c>
      <c r="K192" s="177">
        <f t="shared" si="22"/>
        <v>12339822.799999999</v>
      </c>
      <c r="L192" s="177">
        <f t="shared" si="23"/>
        <v>122176.79999999888</v>
      </c>
      <c r="M192" s="178">
        <f t="shared" si="24"/>
        <v>1.000002782860126E-2</v>
      </c>
      <c r="N192" s="179">
        <f t="shared" si="25"/>
        <v>-37.900000000000091</v>
      </c>
      <c r="O192" s="180">
        <f t="shared" si="26"/>
        <v>-2.4779339653481589E-2</v>
      </c>
    </row>
    <row r="193" spans="1:15" x14ac:dyDescent="0.55000000000000004">
      <c r="A193" s="198" t="s">
        <v>186</v>
      </c>
      <c r="B193" s="181">
        <f>INDEX(Data[FY2026 Budget Enrollment],MATCH(A193,Data[Label],0))</f>
        <v>454.4</v>
      </c>
      <c r="C193" s="182">
        <f>INDEX(Data[FY26 RPDC Per Student],MATCH(A193,Data[Label],0))</f>
        <v>7988</v>
      </c>
      <c r="D193" s="182">
        <f>INDEX(Data[FY2026 RPDC Total],MATCH(A193,Data[Label],0))</f>
        <v>3629747</v>
      </c>
      <c r="E193" s="182">
        <f>INDEX(Data[FY2026 RPDC Budget Guarantee],MATCH(A193,Data[Label],0))</f>
        <v>51267</v>
      </c>
      <c r="F193" s="194">
        <f t="shared" si="18"/>
        <v>3681014</v>
      </c>
      <c r="G193" s="181">
        <f>INDEX(Data[FY2027 Budget Enrollment],MATCH(A193,Data[Label],0))</f>
        <v>447.9</v>
      </c>
      <c r="H193" s="182">
        <f t="shared" si="19"/>
        <v>8148</v>
      </c>
      <c r="I193" s="182">
        <f t="shared" si="20"/>
        <v>3649489.1999999997</v>
      </c>
      <c r="J193" s="182">
        <f t="shared" si="21"/>
        <v>16555</v>
      </c>
      <c r="K193" s="182">
        <f t="shared" si="22"/>
        <v>3666044.1999999997</v>
      </c>
      <c r="L193" s="182">
        <f t="shared" si="23"/>
        <v>-14969.800000000279</v>
      </c>
      <c r="M193" s="183">
        <f t="shared" si="24"/>
        <v>-4.0667598656240591E-3</v>
      </c>
      <c r="N193" s="184">
        <f t="shared" si="25"/>
        <v>-6.5</v>
      </c>
      <c r="O193" s="185">
        <f t="shared" si="26"/>
        <v>-1.4304577464788732E-2</v>
      </c>
    </row>
    <row r="194" spans="1:15" x14ac:dyDescent="0.55000000000000004">
      <c r="A194" s="197" t="s">
        <v>187</v>
      </c>
      <c r="B194" s="176">
        <f>INDEX(Data[FY2026 Budget Enrollment],MATCH(A194,Data[Label],0))</f>
        <v>967.6</v>
      </c>
      <c r="C194" s="177">
        <f>INDEX(Data[FY26 RPDC Per Student],MATCH(A194,Data[Label],0))</f>
        <v>7988</v>
      </c>
      <c r="D194" s="177">
        <f>INDEX(Data[FY2026 RPDC Total],MATCH(A194,Data[Label],0))</f>
        <v>7729189</v>
      </c>
      <c r="E194" s="177">
        <f>INDEX(Data[FY2026 RPDC Budget Guarantee],MATCH(A194,Data[Label],0))</f>
        <v>0</v>
      </c>
      <c r="F194" s="193">
        <f t="shared" si="18"/>
        <v>7729189</v>
      </c>
      <c r="G194" s="176">
        <f>INDEX(Data[FY2027 Budget Enrollment],MATCH(A194,Data[Label],0))</f>
        <v>952.2</v>
      </c>
      <c r="H194" s="177">
        <f t="shared" si="19"/>
        <v>8148</v>
      </c>
      <c r="I194" s="177">
        <f t="shared" si="20"/>
        <v>7758525.6000000006</v>
      </c>
      <c r="J194" s="177">
        <f t="shared" si="21"/>
        <v>47955</v>
      </c>
      <c r="K194" s="177">
        <f t="shared" si="22"/>
        <v>7806480.6000000006</v>
      </c>
      <c r="L194" s="177">
        <f t="shared" si="23"/>
        <v>77291.600000000559</v>
      </c>
      <c r="M194" s="178">
        <f t="shared" si="24"/>
        <v>9.9999624798928523E-3</v>
      </c>
      <c r="N194" s="179">
        <f t="shared" si="25"/>
        <v>-15.399999999999977</v>
      </c>
      <c r="O194" s="180">
        <f t="shared" si="26"/>
        <v>-1.5915667631252559E-2</v>
      </c>
    </row>
    <row r="195" spans="1:15" x14ac:dyDescent="0.55000000000000004">
      <c r="A195" s="198" t="s">
        <v>188</v>
      </c>
      <c r="B195" s="181">
        <f>INDEX(Data[FY2026 Budget Enrollment],MATCH(A195,Data[Label],0))</f>
        <v>304.39999999999998</v>
      </c>
      <c r="C195" s="182">
        <f>INDEX(Data[FY26 RPDC Per Student],MATCH(A195,Data[Label],0))</f>
        <v>7988</v>
      </c>
      <c r="D195" s="182">
        <f>INDEX(Data[FY2026 RPDC Total],MATCH(A195,Data[Label],0))</f>
        <v>2431547</v>
      </c>
      <c r="E195" s="182">
        <f>INDEX(Data[FY2026 RPDC Budget Guarantee],MATCH(A195,Data[Label],0))</f>
        <v>97025</v>
      </c>
      <c r="F195" s="194">
        <f t="shared" si="18"/>
        <v>2528572</v>
      </c>
      <c r="G195" s="181">
        <f>INDEX(Data[FY2027 Budget Enrollment],MATCH(A195,Data[Label],0))</f>
        <v>301.10000000000002</v>
      </c>
      <c r="H195" s="182">
        <f t="shared" si="19"/>
        <v>8148</v>
      </c>
      <c r="I195" s="182">
        <f t="shared" si="20"/>
        <v>2453362.8000000003</v>
      </c>
      <c r="J195" s="182">
        <f t="shared" si="21"/>
        <v>2500</v>
      </c>
      <c r="K195" s="182">
        <f t="shared" si="22"/>
        <v>2455862.8000000003</v>
      </c>
      <c r="L195" s="182">
        <f t="shared" si="23"/>
        <v>-72709.199999999721</v>
      </c>
      <c r="M195" s="183">
        <f t="shared" si="24"/>
        <v>-2.875504434914241E-2</v>
      </c>
      <c r="N195" s="184">
        <f t="shared" si="25"/>
        <v>-3.2999999999999545</v>
      </c>
      <c r="O195" s="185">
        <f t="shared" si="26"/>
        <v>-1.0840998685939405E-2</v>
      </c>
    </row>
    <row r="196" spans="1:15" x14ac:dyDescent="0.55000000000000004">
      <c r="A196" s="197" t="s">
        <v>189</v>
      </c>
      <c r="B196" s="176">
        <f>INDEX(Data[FY2026 Budget Enrollment],MATCH(A196,Data[Label],0))</f>
        <v>206.4</v>
      </c>
      <c r="C196" s="177">
        <f>INDEX(Data[FY26 RPDC Per Student],MATCH(A196,Data[Label],0))</f>
        <v>8022</v>
      </c>
      <c r="D196" s="177">
        <f>INDEX(Data[FY2026 RPDC Total],MATCH(A196,Data[Label],0))</f>
        <v>1655741</v>
      </c>
      <c r="E196" s="177">
        <f>INDEX(Data[FY2026 RPDC Budget Guarantee],MATCH(A196,Data[Label],0))</f>
        <v>102189</v>
      </c>
      <c r="F196" s="193">
        <f t="shared" si="18"/>
        <v>1757930</v>
      </c>
      <c r="G196" s="176">
        <f>INDEX(Data[FY2027 Budget Enrollment],MATCH(A196,Data[Label],0))</f>
        <v>210.9</v>
      </c>
      <c r="H196" s="177">
        <f t="shared" si="19"/>
        <v>8182</v>
      </c>
      <c r="I196" s="177">
        <f t="shared" si="20"/>
        <v>1725583.8</v>
      </c>
      <c r="J196" s="177">
        <f t="shared" si="21"/>
        <v>0</v>
      </c>
      <c r="K196" s="177">
        <f t="shared" si="22"/>
        <v>1725583.8</v>
      </c>
      <c r="L196" s="177">
        <f t="shared" si="23"/>
        <v>-32346.199999999953</v>
      </c>
      <c r="M196" s="178">
        <f t="shared" si="24"/>
        <v>-1.8400163829048913E-2</v>
      </c>
      <c r="N196" s="179">
        <f t="shared" si="25"/>
        <v>4.5</v>
      </c>
      <c r="O196" s="180">
        <f t="shared" si="26"/>
        <v>2.1802325581395349E-2</v>
      </c>
    </row>
    <row r="197" spans="1:15" x14ac:dyDescent="0.55000000000000004">
      <c r="A197" s="198" t="s">
        <v>190</v>
      </c>
      <c r="B197" s="181">
        <f>INDEX(Data[FY2026 Budget Enrollment],MATCH(A197,Data[Label],0))</f>
        <v>191</v>
      </c>
      <c r="C197" s="182">
        <f>INDEX(Data[FY26 RPDC Per Student],MATCH(A197,Data[Label],0))</f>
        <v>7988</v>
      </c>
      <c r="D197" s="182">
        <f>INDEX(Data[FY2026 RPDC Total],MATCH(A197,Data[Label],0))</f>
        <v>1525708</v>
      </c>
      <c r="E197" s="182">
        <f>INDEX(Data[FY2026 RPDC Budget Guarantee],MATCH(A197,Data[Label],0))</f>
        <v>47240</v>
      </c>
      <c r="F197" s="194">
        <f t="shared" si="18"/>
        <v>1572948</v>
      </c>
      <c r="G197" s="181">
        <f>INDEX(Data[FY2027 Budget Enrollment],MATCH(A197,Data[Label],0))</f>
        <v>194</v>
      </c>
      <c r="H197" s="182">
        <f t="shared" si="19"/>
        <v>8148</v>
      </c>
      <c r="I197" s="182">
        <f t="shared" si="20"/>
        <v>1580712</v>
      </c>
      <c r="J197" s="182">
        <f t="shared" si="21"/>
        <v>0</v>
      </c>
      <c r="K197" s="182">
        <f t="shared" si="22"/>
        <v>1580712</v>
      </c>
      <c r="L197" s="182">
        <f t="shared" si="23"/>
        <v>7764</v>
      </c>
      <c r="M197" s="183">
        <f t="shared" si="24"/>
        <v>4.9359546533006811E-3</v>
      </c>
      <c r="N197" s="184">
        <f t="shared" si="25"/>
        <v>3</v>
      </c>
      <c r="O197" s="185">
        <f t="shared" si="26"/>
        <v>1.5706806282722512E-2</v>
      </c>
    </row>
    <row r="198" spans="1:15" x14ac:dyDescent="0.55000000000000004">
      <c r="A198" s="197" t="s">
        <v>191</v>
      </c>
      <c r="B198" s="176">
        <f>INDEX(Data[FY2026 Budget Enrollment],MATCH(A198,Data[Label],0))</f>
        <v>203.8</v>
      </c>
      <c r="C198" s="177">
        <f>INDEX(Data[FY26 RPDC Per Student],MATCH(A198,Data[Label],0))</f>
        <v>7988</v>
      </c>
      <c r="D198" s="177">
        <f>INDEX(Data[FY2026 RPDC Total],MATCH(A198,Data[Label],0))</f>
        <v>1627954</v>
      </c>
      <c r="E198" s="177">
        <f>INDEX(Data[FY2026 RPDC Budget Guarantee],MATCH(A198,Data[Label],0))</f>
        <v>0</v>
      </c>
      <c r="F198" s="193">
        <f t="shared" si="18"/>
        <v>1627954</v>
      </c>
      <c r="G198" s="176">
        <f>INDEX(Data[FY2027 Budget Enrollment],MATCH(A198,Data[Label],0))</f>
        <v>201</v>
      </c>
      <c r="H198" s="177">
        <f t="shared" si="19"/>
        <v>8148</v>
      </c>
      <c r="I198" s="177">
        <f t="shared" si="20"/>
        <v>1637748</v>
      </c>
      <c r="J198" s="177">
        <f t="shared" si="21"/>
        <v>6486</v>
      </c>
      <c r="K198" s="177">
        <f t="shared" si="22"/>
        <v>1644234</v>
      </c>
      <c r="L198" s="177">
        <f t="shared" si="23"/>
        <v>16280</v>
      </c>
      <c r="M198" s="178">
        <f t="shared" si="24"/>
        <v>1.000028256326653E-2</v>
      </c>
      <c r="N198" s="179">
        <f t="shared" si="25"/>
        <v>-2.8000000000000114</v>
      </c>
      <c r="O198" s="180">
        <f t="shared" si="26"/>
        <v>-1.373895976447503E-2</v>
      </c>
    </row>
    <row r="199" spans="1:15" x14ac:dyDescent="0.55000000000000004">
      <c r="A199" s="198" t="s">
        <v>192</v>
      </c>
      <c r="B199" s="181">
        <f>INDEX(Data[FY2026 Budget Enrollment],MATCH(A199,Data[Label],0))</f>
        <v>587.29999999999995</v>
      </c>
      <c r="C199" s="182">
        <f>INDEX(Data[FY26 RPDC Per Student],MATCH(A199,Data[Label],0))</f>
        <v>7988</v>
      </c>
      <c r="D199" s="182">
        <f>INDEX(Data[FY2026 RPDC Total],MATCH(A199,Data[Label],0))</f>
        <v>4691352</v>
      </c>
      <c r="E199" s="182">
        <f>INDEX(Data[FY2026 RPDC Budget Guarantee],MATCH(A199,Data[Label],0))</f>
        <v>38557</v>
      </c>
      <c r="F199" s="194">
        <f t="shared" si="18"/>
        <v>4729909</v>
      </c>
      <c r="G199" s="181">
        <f>INDEX(Data[FY2027 Budget Enrollment],MATCH(A199,Data[Label],0))</f>
        <v>562.5</v>
      </c>
      <c r="H199" s="182">
        <f t="shared" si="19"/>
        <v>8148</v>
      </c>
      <c r="I199" s="182">
        <f t="shared" si="20"/>
        <v>4583250</v>
      </c>
      <c r="J199" s="182">
        <f t="shared" si="21"/>
        <v>155016</v>
      </c>
      <c r="K199" s="182">
        <f t="shared" si="22"/>
        <v>4738266</v>
      </c>
      <c r="L199" s="182">
        <f t="shared" si="23"/>
        <v>8357</v>
      </c>
      <c r="M199" s="183">
        <f t="shared" si="24"/>
        <v>1.7668416030836957E-3</v>
      </c>
      <c r="N199" s="184">
        <f t="shared" si="25"/>
        <v>-24.799999999999955</v>
      </c>
      <c r="O199" s="185">
        <f t="shared" si="26"/>
        <v>-4.2227141154435481E-2</v>
      </c>
    </row>
    <row r="200" spans="1:15" x14ac:dyDescent="0.55000000000000004">
      <c r="A200" s="197" t="s">
        <v>193</v>
      </c>
      <c r="B200" s="176">
        <f>INDEX(Data[FY2026 Budget Enrollment],MATCH(A200,Data[Label],0))</f>
        <v>1757.1</v>
      </c>
      <c r="C200" s="177">
        <f>INDEX(Data[FY26 RPDC Per Student],MATCH(A200,Data[Label],0))</f>
        <v>7988</v>
      </c>
      <c r="D200" s="177">
        <f>INDEX(Data[FY2026 RPDC Total],MATCH(A200,Data[Label],0))</f>
        <v>14035715</v>
      </c>
      <c r="E200" s="177">
        <f>INDEX(Data[FY2026 RPDC Budget Guarantee],MATCH(A200,Data[Label],0))</f>
        <v>0</v>
      </c>
      <c r="F200" s="193">
        <f t="shared" si="18"/>
        <v>14035715</v>
      </c>
      <c r="G200" s="176">
        <f>INDEX(Data[FY2027 Budget Enrollment],MATCH(A200,Data[Label],0))</f>
        <v>1705.2</v>
      </c>
      <c r="H200" s="177">
        <f t="shared" si="19"/>
        <v>8148</v>
      </c>
      <c r="I200" s="177">
        <f t="shared" si="20"/>
        <v>13893969.6</v>
      </c>
      <c r="J200" s="177">
        <f t="shared" si="21"/>
        <v>282103</v>
      </c>
      <c r="K200" s="177">
        <f t="shared" si="22"/>
        <v>14176072.6</v>
      </c>
      <c r="L200" s="177">
        <f t="shared" si="23"/>
        <v>140357.59999999963</v>
      </c>
      <c r="M200" s="178">
        <f t="shared" si="24"/>
        <v>1.0000032061067044E-2</v>
      </c>
      <c r="N200" s="179">
        <f t="shared" si="25"/>
        <v>-51.899999999999864</v>
      </c>
      <c r="O200" s="180">
        <f t="shared" si="26"/>
        <v>-2.9537305787945972E-2</v>
      </c>
    </row>
    <row r="201" spans="1:15" x14ac:dyDescent="0.55000000000000004">
      <c r="A201" s="198" t="s">
        <v>194</v>
      </c>
      <c r="B201" s="181">
        <f>INDEX(Data[FY2026 Budget Enrollment],MATCH(A201,Data[Label],0))</f>
        <v>1080.3</v>
      </c>
      <c r="C201" s="182">
        <f>INDEX(Data[FY26 RPDC Per Student],MATCH(A201,Data[Label],0))</f>
        <v>7988</v>
      </c>
      <c r="D201" s="182">
        <f>INDEX(Data[FY2026 RPDC Total],MATCH(A201,Data[Label],0))</f>
        <v>8629436</v>
      </c>
      <c r="E201" s="182">
        <f>INDEX(Data[FY2026 RPDC Budget Guarantee],MATCH(A201,Data[Label],0))</f>
        <v>46280</v>
      </c>
      <c r="F201" s="194">
        <f t="shared" si="18"/>
        <v>8675716</v>
      </c>
      <c r="G201" s="181">
        <f>INDEX(Data[FY2027 Budget Enrollment],MATCH(A201,Data[Label],0))</f>
        <v>1085.0999999999999</v>
      </c>
      <c r="H201" s="182">
        <f t="shared" si="19"/>
        <v>8148</v>
      </c>
      <c r="I201" s="182">
        <f t="shared" si="20"/>
        <v>8841394.7999999989</v>
      </c>
      <c r="J201" s="182">
        <f t="shared" si="21"/>
        <v>0</v>
      </c>
      <c r="K201" s="182">
        <f t="shared" si="22"/>
        <v>8841394.7999999989</v>
      </c>
      <c r="L201" s="182">
        <f t="shared" si="23"/>
        <v>165678.79999999888</v>
      </c>
      <c r="M201" s="183">
        <f t="shared" si="24"/>
        <v>1.909684457167557E-2</v>
      </c>
      <c r="N201" s="184">
        <f t="shared" si="25"/>
        <v>4.7999999999999545</v>
      </c>
      <c r="O201" s="185">
        <f t="shared" si="26"/>
        <v>4.4432102193834623E-3</v>
      </c>
    </row>
    <row r="202" spans="1:15" x14ac:dyDescent="0.55000000000000004">
      <c r="A202" s="197" t="s">
        <v>195</v>
      </c>
      <c r="B202" s="176">
        <f>INDEX(Data[FY2026 Budget Enrollment],MATCH(A202,Data[Label],0))</f>
        <v>219.4</v>
      </c>
      <c r="C202" s="177">
        <f>INDEX(Data[FY26 RPDC Per Student],MATCH(A202,Data[Label],0))</f>
        <v>7988</v>
      </c>
      <c r="D202" s="177">
        <f>INDEX(Data[FY2026 RPDC Total],MATCH(A202,Data[Label],0))</f>
        <v>1752567</v>
      </c>
      <c r="E202" s="177">
        <f>INDEX(Data[FY2026 RPDC Budget Guarantee],MATCH(A202,Data[Label],0))</f>
        <v>0</v>
      </c>
      <c r="F202" s="193">
        <f t="shared" si="18"/>
        <v>1752567</v>
      </c>
      <c r="G202" s="176">
        <f>INDEX(Data[FY2027 Budget Enrollment],MATCH(A202,Data[Label],0))</f>
        <v>213.3</v>
      </c>
      <c r="H202" s="177">
        <f t="shared" si="19"/>
        <v>8148</v>
      </c>
      <c r="I202" s="177">
        <f t="shared" si="20"/>
        <v>1737968.4000000001</v>
      </c>
      <c r="J202" s="177">
        <f t="shared" si="21"/>
        <v>32124</v>
      </c>
      <c r="K202" s="177">
        <f t="shared" si="22"/>
        <v>1770092.4000000001</v>
      </c>
      <c r="L202" s="177">
        <f t="shared" si="23"/>
        <v>17525.40000000014</v>
      </c>
      <c r="M202" s="178">
        <f t="shared" si="24"/>
        <v>9.9998459402694112E-3</v>
      </c>
      <c r="N202" s="179">
        <f t="shared" si="25"/>
        <v>-6.0999999999999943</v>
      </c>
      <c r="O202" s="180">
        <f t="shared" si="26"/>
        <v>-2.7803099361896053E-2</v>
      </c>
    </row>
    <row r="203" spans="1:15" x14ac:dyDescent="0.55000000000000004">
      <c r="A203" s="198" t="s">
        <v>196</v>
      </c>
      <c r="B203" s="181">
        <f>INDEX(Data[FY2026 Budget Enrollment],MATCH(A203,Data[Label],0))</f>
        <v>4315.8999999999996</v>
      </c>
      <c r="C203" s="182">
        <f>INDEX(Data[FY26 RPDC Per Student],MATCH(A203,Data[Label],0))</f>
        <v>7988</v>
      </c>
      <c r="D203" s="182">
        <f>INDEX(Data[FY2026 RPDC Total],MATCH(A203,Data[Label],0))</f>
        <v>34475409</v>
      </c>
      <c r="E203" s="182">
        <f>INDEX(Data[FY2026 RPDC Budget Guarantee],MATCH(A203,Data[Label],0))</f>
        <v>483552</v>
      </c>
      <c r="F203" s="194">
        <f t="shared" ref="F203:F266" si="27">D203+E203</f>
        <v>34958961</v>
      </c>
      <c r="G203" s="181">
        <f>INDEX(Data[FY2027 Budget Enrollment],MATCH(A203,Data[Label],0))</f>
        <v>4239.3</v>
      </c>
      <c r="H203" s="182">
        <f t="shared" ref="H203:H266" si="28">MAX(7988+ROUND(7988*$B$6,0)+$E$6,C203+ROUND(7988*$B$6,0))</f>
        <v>8148</v>
      </c>
      <c r="I203" s="182">
        <f t="shared" ref="I203:I266" si="29">G203*H203</f>
        <v>34541816.399999999</v>
      </c>
      <c r="J203" s="182">
        <f t="shared" ref="J203:J266" si="30">ROUND(MAX((D203*1.01)-I203,0),0)</f>
        <v>278347</v>
      </c>
      <c r="K203" s="182">
        <f t="shared" ref="K203:K266" si="31">I203+J203</f>
        <v>34820163.399999999</v>
      </c>
      <c r="L203" s="182">
        <f t="shared" ref="L203:L266" si="32">K203-F203</f>
        <v>-138797.60000000149</v>
      </c>
      <c r="M203" s="183">
        <f t="shared" ref="M203:M266" si="33">L203/F203</f>
        <v>-3.9703010624372245E-3</v>
      </c>
      <c r="N203" s="184">
        <f t="shared" ref="N203:N266" si="34">G203-B203</f>
        <v>-76.599999999999454</v>
      </c>
      <c r="O203" s="185">
        <f t="shared" ref="O203:O266" si="35">N203/B203</f>
        <v>-1.7748325957505841E-2</v>
      </c>
    </row>
    <row r="204" spans="1:15" x14ac:dyDescent="0.55000000000000004">
      <c r="A204" s="197" t="s">
        <v>197</v>
      </c>
      <c r="B204" s="176">
        <f>INDEX(Data[FY2026 Budget Enrollment],MATCH(A204,Data[Label],0))</f>
        <v>573.6</v>
      </c>
      <c r="C204" s="177">
        <f>INDEX(Data[FY26 RPDC Per Student],MATCH(A204,Data[Label],0))</f>
        <v>8060</v>
      </c>
      <c r="D204" s="177">
        <f>INDEX(Data[FY2026 RPDC Total],MATCH(A204,Data[Label],0))</f>
        <v>4623216</v>
      </c>
      <c r="E204" s="177">
        <f>INDEX(Data[FY2026 RPDC Budget Guarantee],MATCH(A204,Data[Label],0))</f>
        <v>116513</v>
      </c>
      <c r="F204" s="193">
        <f t="shared" si="27"/>
        <v>4739729</v>
      </c>
      <c r="G204" s="176">
        <f>INDEX(Data[FY2027 Budget Enrollment],MATCH(A204,Data[Label],0))</f>
        <v>583.6</v>
      </c>
      <c r="H204" s="177">
        <f t="shared" si="28"/>
        <v>8220</v>
      </c>
      <c r="I204" s="177">
        <f t="shared" si="29"/>
        <v>4797192</v>
      </c>
      <c r="J204" s="177">
        <f t="shared" si="30"/>
        <v>0</v>
      </c>
      <c r="K204" s="177">
        <f t="shared" si="31"/>
        <v>4797192</v>
      </c>
      <c r="L204" s="177">
        <f t="shared" si="32"/>
        <v>57463</v>
      </c>
      <c r="M204" s="178">
        <f t="shared" si="33"/>
        <v>1.2123688928206654E-2</v>
      </c>
      <c r="N204" s="179">
        <f t="shared" si="34"/>
        <v>10</v>
      </c>
      <c r="O204" s="180">
        <f t="shared" si="35"/>
        <v>1.7433751743375175E-2</v>
      </c>
    </row>
    <row r="205" spans="1:15" x14ac:dyDescent="0.55000000000000004">
      <c r="A205" s="198" t="s">
        <v>198</v>
      </c>
      <c r="B205" s="181">
        <f>INDEX(Data[FY2026 Budget Enrollment],MATCH(A205,Data[Label],0))</f>
        <v>1398.9</v>
      </c>
      <c r="C205" s="182">
        <f>INDEX(Data[FY26 RPDC Per Student],MATCH(A205,Data[Label],0))</f>
        <v>7988</v>
      </c>
      <c r="D205" s="182">
        <f>INDEX(Data[FY2026 RPDC Total],MATCH(A205,Data[Label],0))</f>
        <v>11174413</v>
      </c>
      <c r="E205" s="182">
        <f>INDEX(Data[FY2026 RPDC Budget Guarantee],MATCH(A205,Data[Label],0))</f>
        <v>0</v>
      </c>
      <c r="F205" s="194">
        <f t="shared" si="27"/>
        <v>11174413</v>
      </c>
      <c r="G205" s="181">
        <f>INDEX(Data[FY2027 Budget Enrollment],MATCH(A205,Data[Label],0))</f>
        <v>1350.3</v>
      </c>
      <c r="H205" s="182">
        <f t="shared" si="28"/>
        <v>8148</v>
      </c>
      <c r="I205" s="182">
        <f t="shared" si="29"/>
        <v>11002244.4</v>
      </c>
      <c r="J205" s="182">
        <f t="shared" si="30"/>
        <v>283913</v>
      </c>
      <c r="K205" s="182">
        <f t="shared" si="31"/>
        <v>11286157.4</v>
      </c>
      <c r="L205" s="182">
        <f t="shared" si="32"/>
        <v>111744.40000000037</v>
      </c>
      <c r="M205" s="183">
        <f t="shared" si="33"/>
        <v>1.0000024162343057E-2</v>
      </c>
      <c r="N205" s="184">
        <f t="shared" si="34"/>
        <v>-48.600000000000136</v>
      </c>
      <c r="O205" s="185">
        <f t="shared" si="35"/>
        <v>-3.4741582672099605E-2</v>
      </c>
    </row>
    <row r="206" spans="1:15" x14ac:dyDescent="0.55000000000000004">
      <c r="A206" s="197" t="s">
        <v>199</v>
      </c>
      <c r="B206" s="176">
        <f>INDEX(Data[FY2026 Budget Enrollment],MATCH(A206,Data[Label],0))</f>
        <v>992.8</v>
      </c>
      <c r="C206" s="177">
        <f>INDEX(Data[FY26 RPDC Per Student],MATCH(A206,Data[Label],0))</f>
        <v>7988</v>
      </c>
      <c r="D206" s="177">
        <f>INDEX(Data[FY2026 RPDC Total],MATCH(A206,Data[Label],0))</f>
        <v>7930486</v>
      </c>
      <c r="E206" s="177">
        <f>INDEX(Data[FY2026 RPDC Budget Guarantee],MATCH(A206,Data[Label],0))</f>
        <v>0</v>
      </c>
      <c r="F206" s="193">
        <f t="shared" si="27"/>
        <v>7930486</v>
      </c>
      <c r="G206" s="176">
        <f>INDEX(Data[FY2027 Budget Enrollment],MATCH(A206,Data[Label],0))</f>
        <v>979.3</v>
      </c>
      <c r="H206" s="177">
        <f t="shared" si="28"/>
        <v>8148</v>
      </c>
      <c r="I206" s="177">
        <f t="shared" si="29"/>
        <v>7979336.3999999994</v>
      </c>
      <c r="J206" s="177">
        <f t="shared" si="30"/>
        <v>30454</v>
      </c>
      <c r="K206" s="177">
        <f t="shared" si="31"/>
        <v>8009790.3999999994</v>
      </c>
      <c r="L206" s="177">
        <f t="shared" si="32"/>
        <v>79304.399999999441</v>
      </c>
      <c r="M206" s="178">
        <f t="shared" si="33"/>
        <v>9.9999419959885746E-3</v>
      </c>
      <c r="N206" s="179">
        <f t="shared" si="34"/>
        <v>-13.5</v>
      </c>
      <c r="O206" s="180">
        <f t="shared" si="35"/>
        <v>-1.3597904915390814E-2</v>
      </c>
    </row>
    <row r="207" spans="1:15" x14ac:dyDescent="0.55000000000000004">
      <c r="A207" s="198" t="s">
        <v>200</v>
      </c>
      <c r="B207" s="181">
        <f>INDEX(Data[FY2026 Budget Enrollment],MATCH(A207,Data[Label],0))</f>
        <v>544.9</v>
      </c>
      <c r="C207" s="182">
        <f>INDEX(Data[FY26 RPDC Per Student],MATCH(A207,Data[Label],0))</f>
        <v>7988</v>
      </c>
      <c r="D207" s="182">
        <f>INDEX(Data[FY2026 RPDC Total],MATCH(A207,Data[Label],0))</f>
        <v>4352661</v>
      </c>
      <c r="E207" s="182">
        <f>INDEX(Data[FY2026 RPDC Budget Guarantee],MATCH(A207,Data[Label],0))</f>
        <v>0</v>
      </c>
      <c r="F207" s="194">
        <f t="shared" si="27"/>
        <v>4352661</v>
      </c>
      <c r="G207" s="181">
        <f>INDEX(Data[FY2027 Budget Enrollment],MATCH(A207,Data[Label],0))</f>
        <v>521.4</v>
      </c>
      <c r="H207" s="182">
        <f t="shared" si="28"/>
        <v>8148</v>
      </c>
      <c r="I207" s="182">
        <f t="shared" si="29"/>
        <v>4248367.2</v>
      </c>
      <c r="J207" s="182">
        <f t="shared" si="30"/>
        <v>147820</v>
      </c>
      <c r="K207" s="182">
        <f t="shared" si="31"/>
        <v>4396187.2</v>
      </c>
      <c r="L207" s="182">
        <f t="shared" si="32"/>
        <v>43526.200000000186</v>
      </c>
      <c r="M207" s="183">
        <f t="shared" si="33"/>
        <v>9.9999058047479886E-3</v>
      </c>
      <c r="N207" s="184">
        <f t="shared" si="34"/>
        <v>-23.5</v>
      </c>
      <c r="O207" s="185">
        <f t="shared" si="35"/>
        <v>-4.312717929895394E-2</v>
      </c>
    </row>
    <row r="208" spans="1:15" x14ac:dyDescent="0.55000000000000004">
      <c r="A208" s="197" t="s">
        <v>201</v>
      </c>
      <c r="B208" s="176">
        <f>INDEX(Data[FY2026 Budget Enrollment],MATCH(A208,Data[Label],0))</f>
        <v>451.9</v>
      </c>
      <c r="C208" s="177">
        <f>INDEX(Data[FY26 RPDC Per Student],MATCH(A208,Data[Label],0))</f>
        <v>8037</v>
      </c>
      <c r="D208" s="177">
        <f>INDEX(Data[FY2026 RPDC Total],MATCH(A208,Data[Label],0))</f>
        <v>3631920</v>
      </c>
      <c r="E208" s="177">
        <f>INDEX(Data[FY2026 RPDC Budget Guarantee],MATCH(A208,Data[Label],0))</f>
        <v>160448</v>
      </c>
      <c r="F208" s="193">
        <f t="shared" si="27"/>
        <v>3792368</v>
      </c>
      <c r="G208" s="176">
        <f>INDEX(Data[FY2027 Budget Enrollment],MATCH(A208,Data[Label],0))</f>
        <v>429.7</v>
      </c>
      <c r="H208" s="177">
        <f t="shared" si="28"/>
        <v>8197</v>
      </c>
      <c r="I208" s="177">
        <f t="shared" si="29"/>
        <v>3522250.9</v>
      </c>
      <c r="J208" s="177">
        <f t="shared" si="30"/>
        <v>145988</v>
      </c>
      <c r="K208" s="177">
        <f t="shared" si="31"/>
        <v>3668238.9</v>
      </c>
      <c r="L208" s="177">
        <f t="shared" si="32"/>
        <v>-124129.10000000009</v>
      </c>
      <c r="M208" s="178">
        <f t="shared" si="33"/>
        <v>-3.2731290845192267E-2</v>
      </c>
      <c r="N208" s="179">
        <f t="shared" si="34"/>
        <v>-22.199999999999989</v>
      </c>
      <c r="O208" s="180">
        <f t="shared" si="35"/>
        <v>-4.9125912812569131E-2</v>
      </c>
    </row>
    <row r="209" spans="1:15" x14ac:dyDescent="0.55000000000000004">
      <c r="A209" s="198" t="s">
        <v>202</v>
      </c>
      <c r="B209" s="181">
        <f>INDEX(Data[FY2026 Budget Enrollment],MATCH(A209,Data[Label],0))</f>
        <v>2843.8</v>
      </c>
      <c r="C209" s="182">
        <f>INDEX(Data[FY26 RPDC Per Student],MATCH(A209,Data[Label],0))</f>
        <v>7988</v>
      </c>
      <c r="D209" s="182">
        <f>INDEX(Data[FY2026 RPDC Total],MATCH(A209,Data[Label],0))</f>
        <v>22716274</v>
      </c>
      <c r="E209" s="182">
        <f>INDEX(Data[FY2026 RPDC Budget Guarantee],MATCH(A209,Data[Label],0))</f>
        <v>298560</v>
      </c>
      <c r="F209" s="194">
        <f t="shared" si="27"/>
        <v>23014834</v>
      </c>
      <c r="G209" s="181">
        <f>INDEX(Data[FY2027 Budget Enrollment],MATCH(A209,Data[Label],0))</f>
        <v>2808.5</v>
      </c>
      <c r="H209" s="182">
        <f t="shared" si="28"/>
        <v>8148</v>
      </c>
      <c r="I209" s="182">
        <f t="shared" si="29"/>
        <v>22883658</v>
      </c>
      <c r="J209" s="182">
        <f t="shared" si="30"/>
        <v>59779</v>
      </c>
      <c r="K209" s="182">
        <f t="shared" si="31"/>
        <v>22943437</v>
      </c>
      <c r="L209" s="182">
        <f t="shared" si="32"/>
        <v>-71397</v>
      </c>
      <c r="M209" s="183">
        <f t="shared" si="33"/>
        <v>-3.1022165964786014E-3</v>
      </c>
      <c r="N209" s="184">
        <f t="shared" si="34"/>
        <v>-35.300000000000182</v>
      </c>
      <c r="O209" s="185">
        <f t="shared" si="35"/>
        <v>-1.2412968563190161E-2</v>
      </c>
    </row>
    <row r="210" spans="1:15" x14ac:dyDescent="0.55000000000000004">
      <c r="A210" s="197" t="s">
        <v>203</v>
      </c>
      <c r="B210" s="176">
        <f>INDEX(Data[FY2026 Budget Enrollment],MATCH(A210,Data[Label],0))</f>
        <v>635.1</v>
      </c>
      <c r="C210" s="177">
        <f>INDEX(Data[FY26 RPDC Per Student],MATCH(A210,Data[Label],0))</f>
        <v>7988</v>
      </c>
      <c r="D210" s="177">
        <f>INDEX(Data[FY2026 RPDC Total],MATCH(A210,Data[Label],0))</f>
        <v>5073179</v>
      </c>
      <c r="E210" s="177">
        <f>INDEX(Data[FY2026 RPDC Budget Guarantee],MATCH(A210,Data[Label],0))</f>
        <v>178962</v>
      </c>
      <c r="F210" s="193">
        <f t="shared" si="27"/>
        <v>5252141</v>
      </c>
      <c r="G210" s="176">
        <f>INDEX(Data[FY2027 Budget Enrollment],MATCH(A210,Data[Label],0))</f>
        <v>656.7</v>
      </c>
      <c r="H210" s="177">
        <f t="shared" si="28"/>
        <v>8148</v>
      </c>
      <c r="I210" s="177">
        <f t="shared" si="29"/>
        <v>5350791.6000000006</v>
      </c>
      <c r="J210" s="177">
        <f t="shared" si="30"/>
        <v>0</v>
      </c>
      <c r="K210" s="177">
        <f t="shared" si="31"/>
        <v>5350791.6000000006</v>
      </c>
      <c r="L210" s="177">
        <f t="shared" si="32"/>
        <v>98650.600000000559</v>
      </c>
      <c r="M210" s="178">
        <f t="shared" si="33"/>
        <v>1.8782930618199429E-2</v>
      </c>
      <c r="N210" s="179">
        <f t="shared" si="34"/>
        <v>21.600000000000023</v>
      </c>
      <c r="O210" s="180">
        <f t="shared" si="35"/>
        <v>3.4010392064241883E-2</v>
      </c>
    </row>
    <row r="211" spans="1:15" x14ac:dyDescent="0.55000000000000004">
      <c r="A211" s="198" t="s">
        <v>204</v>
      </c>
      <c r="B211" s="181">
        <f>INDEX(Data[FY2026 Budget Enrollment],MATCH(A211,Data[Label],0))</f>
        <v>522.9</v>
      </c>
      <c r="C211" s="182">
        <f>INDEX(Data[FY26 RPDC Per Student],MATCH(A211,Data[Label],0))</f>
        <v>8035</v>
      </c>
      <c r="D211" s="182">
        <f>INDEX(Data[FY2026 RPDC Total],MATCH(A211,Data[Label],0))</f>
        <v>4201502</v>
      </c>
      <c r="E211" s="182">
        <f>INDEX(Data[FY2026 RPDC Budget Guarantee],MATCH(A211,Data[Label],0))</f>
        <v>0</v>
      </c>
      <c r="F211" s="194">
        <f t="shared" si="27"/>
        <v>4201502</v>
      </c>
      <c r="G211" s="181">
        <f>INDEX(Data[FY2027 Budget Enrollment],MATCH(A211,Data[Label],0))</f>
        <v>504</v>
      </c>
      <c r="H211" s="182">
        <f t="shared" si="28"/>
        <v>8195</v>
      </c>
      <c r="I211" s="182">
        <f t="shared" si="29"/>
        <v>4130280</v>
      </c>
      <c r="J211" s="182">
        <f t="shared" si="30"/>
        <v>113237</v>
      </c>
      <c r="K211" s="182">
        <f t="shared" si="31"/>
        <v>4243517</v>
      </c>
      <c r="L211" s="182">
        <f t="shared" si="32"/>
        <v>42015</v>
      </c>
      <c r="M211" s="183">
        <f t="shared" si="33"/>
        <v>9.999995239797577E-3</v>
      </c>
      <c r="N211" s="184">
        <f t="shared" si="34"/>
        <v>-18.899999999999977</v>
      </c>
      <c r="O211" s="185">
        <f t="shared" si="35"/>
        <v>-3.6144578313252969E-2</v>
      </c>
    </row>
    <row r="212" spans="1:15" x14ac:dyDescent="0.55000000000000004">
      <c r="A212" s="197" t="s">
        <v>205</v>
      </c>
      <c r="B212" s="176">
        <f>INDEX(Data[FY2026 Budget Enrollment],MATCH(A212,Data[Label],0))</f>
        <v>703.9</v>
      </c>
      <c r="C212" s="177">
        <f>INDEX(Data[FY26 RPDC Per Student],MATCH(A212,Data[Label],0))</f>
        <v>7989</v>
      </c>
      <c r="D212" s="177">
        <f>INDEX(Data[FY2026 RPDC Total],MATCH(A212,Data[Label],0))</f>
        <v>5623457</v>
      </c>
      <c r="E212" s="177">
        <f>INDEX(Data[FY2026 RPDC Budget Guarantee],MATCH(A212,Data[Label],0))</f>
        <v>0</v>
      </c>
      <c r="F212" s="193">
        <f t="shared" si="27"/>
        <v>5623457</v>
      </c>
      <c r="G212" s="176">
        <f>INDEX(Data[FY2027 Budget Enrollment],MATCH(A212,Data[Label],0))</f>
        <v>676.1</v>
      </c>
      <c r="H212" s="177">
        <f t="shared" si="28"/>
        <v>8149</v>
      </c>
      <c r="I212" s="177">
        <f t="shared" si="29"/>
        <v>5509538.9000000004</v>
      </c>
      <c r="J212" s="177">
        <f t="shared" si="30"/>
        <v>170153</v>
      </c>
      <c r="K212" s="177">
        <f t="shared" si="31"/>
        <v>5679691.9000000004</v>
      </c>
      <c r="L212" s="177">
        <f t="shared" si="32"/>
        <v>56234.900000000373</v>
      </c>
      <c r="M212" s="178">
        <f t="shared" si="33"/>
        <v>1.0000058682764067E-2</v>
      </c>
      <c r="N212" s="179">
        <f t="shared" si="34"/>
        <v>-27.799999999999955</v>
      </c>
      <c r="O212" s="180">
        <f t="shared" si="35"/>
        <v>-3.9494246341809855E-2</v>
      </c>
    </row>
    <row r="213" spans="1:15" x14ac:dyDescent="0.55000000000000004">
      <c r="A213" s="198" t="s">
        <v>206</v>
      </c>
      <c r="B213" s="181">
        <f>INDEX(Data[FY2026 Budget Enrollment],MATCH(A213,Data[Label],0))</f>
        <v>1108.4000000000001</v>
      </c>
      <c r="C213" s="182">
        <f>INDEX(Data[FY26 RPDC Per Student],MATCH(A213,Data[Label],0))</f>
        <v>8037</v>
      </c>
      <c r="D213" s="182">
        <f>INDEX(Data[FY2026 RPDC Total],MATCH(A213,Data[Label],0))</f>
        <v>8908211</v>
      </c>
      <c r="E213" s="182">
        <f>INDEX(Data[FY2026 RPDC Budget Guarantee],MATCH(A213,Data[Label],0))</f>
        <v>0</v>
      </c>
      <c r="F213" s="194">
        <f t="shared" si="27"/>
        <v>8908211</v>
      </c>
      <c r="G213" s="181">
        <f>INDEX(Data[FY2027 Budget Enrollment],MATCH(A213,Data[Label],0))</f>
        <v>1081.2</v>
      </c>
      <c r="H213" s="182">
        <f t="shared" si="28"/>
        <v>8197</v>
      </c>
      <c r="I213" s="182">
        <f t="shared" si="29"/>
        <v>8862596.4000000004</v>
      </c>
      <c r="J213" s="182">
        <f t="shared" si="30"/>
        <v>134697</v>
      </c>
      <c r="K213" s="182">
        <f t="shared" si="31"/>
        <v>8997293.4000000004</v>
      </c>
      <c r="L213" s="182">
        <f t="shared" si="32"/>
        <v>89082.400000000373</v>
      </c>
      <c r="M213" s="183">
        <f t="shared" si="33"/>
        <v>1.0000032554235679E-2</v>
      </c>
      <c r="N213" s="184">
        <f t="shared" si="34"/>
        <v>-27.200000000000045</v>
      </c>
      <c r="O213" s="185">
        <f t="shared" si="35"/>
        <v>-2.4539877300613536E-2</v>
      </c>
    </row>
    <row r="214" spans="1:15" x14ac:dyDescent="0.55000000000000004">
      <c r="A214" s="197" t="s">
        <v>207</v>
      </c>
      <c r="B214" s="176">
        <f>INDEX(Data[FY2026 Budget Enrollment],MATCH(A214,Data[Label],0))</f>
        <v>455.8</v>
      </c>
      <c r="C214" s="177">
        <f>INDEX(Data[FY26 RPDC Per Student],MATCH(A214,Data[Label],0))</f>
        <v>8057</v>
      </c>
      <c r="D214" s="177">
        <f>INDEX(Data[FY2026 RPDC Total],MATCH(A214,Data[Label],0))</f>
        <v>3672381</v>
      </c>
      <c r="E214" s="177">
        <f>INDEX(Data[FY2026 RPDC Budget Guarantee],MATCH(A214,Data[Label],0))</f>
        <v>92909</v>
      </c>
      <c r="F214" s="193">
        <f t="shared" si="27"/>
        <v>3765290</v>
      </c>
      <c r="G214" s="176">
        <f>INDEX(Data[FY2027 Budget Enrollment],MATCH(A214,Data[Label],0))</f>
        <v>448.2</v>
      </c>
      <c r="H214" s="177">
        <f t="shared" si="28"/>
        <v>8217</v>
      </c>
      <c r="I214" s="177">
        <f t="shared" si="29"/>
        <v>3682859.4</v>
      </c>
      <c r="J214" s="177">
        <f t="shared" si="30"/>
        <v>26245</v>
      </c>
      <c r="K214" s="177">
        <f t="shared" si="31"/>
        <v>3709104.4</v>
      </c>
      <c r="L214" s="177">
        <f t="shared" si="32"/>
        <v>-56185.600000000093</v>
      </c>
      <c r="M214" s="178">
        <f t="shared" si="33"/>
        <v>-1.4921984760801981E-2</v>
      </c>
      <c r="N214" s="179">
        <f t="shared" si="34"/>
        <v>-7.6000000000000227</v>
      </c>
      <c r="O214" s="180">
        <f t="shared" si="35"/>
        <v>-1.6673979815708694E-2</v>
      </c>
    </row>
    <row r="215" spans="1:15" x14ac:dyDescent="0.55000000000000004">
      <c r="A215" s="198" t="s">
        <v>208</v>
      </c>
      <c r="B215" s="181">
        <f>INDEX(Data[FY2026 Budget Enrollment],MATCH(A215,Data[Label],0))</f>
        <v>231.5</v>
      </c>
      <c r="C215" s="182">
        <f>INDEX(Data[FY26 RPDC Per Student],MATCH(A215,Data[Label],0))</f>
        <v>7988</v>
      </c>
      <c r="D215" s="182">
        <f>INDEX(Data[FY2026 RPDC Total],MATCH(A215,Data[Label],0))</f>
        <v>1849222</v>
      </c>
      <c r="E215" s="182">
        <f>INDEX(Data[FY2026 RPDC Budget Guarantee],MATCH(A215,Data[Label],0))</f>
        <v>73586</v>
      </c>
      <c r="F215" s="194">
        <f t="shared" si="27"/>
        <v>1922808</v>
      </c>
      <c r="G215" s="181">
        <f>INDEX(Data[FY2027 Budget Enrollment],MATCH(A215,Data[Label],0))</f>
        <v>225.1</v>
      </c>
      <c r="H215" s="182">
        <f t="shared" si="28"/>
        <v>8148</v>
      </c>
      <c r="I215" s="182">
        <f t="shared" si="29"/>
        <v>1834114.8</v>
      </c>
      <c r="J215" s="182">
        <f t="shared" si="30"/>
        <v>33599</v>
      </c>
      <c r="K215" s="182">
        <f t="shared" si="31"/>
        <v>1867713.8</v>
      </c>
      <c r="L215" s="182">
        <f t="shared" si="32"/>
        <v>-55094.199999999953</v>
      </c>
      <c r="M215" s="183">
        <f t="shared" si="33"/>
        <v>-2.8652990834238237E-2</v>
      </c>
      <c r="N215" s="184">
        <f t="shared" si="34"/>
        <v>-6.4000000000000057</v>
      </c>
      <c r="O215" s="185">
        <f t="shared" si="35"/>
        <v>-2.7645788336933069E-2</v>
      </c>
    </row>
    <row r="216" spans="1:15" x14ac:dyDescent="0.55000000000000004">
      <c r="A216" s="197" t="s">
        <v>209</v>
      </c>
      <c r="B216" s="176">
        <f>INDEX(Data[FY2026 Budget Enrollment],MATCH(A216,Data[Label],0))</f>
        <v>558.5</v>
      </c>
      <c r="C216" s="177">
        <f>INDEX(Data[FY26 RPDC Per Student],MATCH(A216,Data[Label],0))</f>
        <v>7997</v>
      </c>
      <c r="D216" s="177">
        <f>INDEX(Data[FY2026 RPDC Total],MATCH(A216,Data[Label],0))</f>
        <v>4466325</v>
      </c>
      <c r="E216" s="177">
        <f>INDEX(Data[FY2026 RPDC Budget Guarantee],MATCH(A216,Data[Label],0))</f>
        <v>0</v>
      </c>
      <c r="F216" s="193">
        <f t="shared" si="27"/>
        <v>4466325</v>
      </c>
      <c r="G216" s="176">
        <f>INDEX(Data[FY2027 Budget Enrollment],MATCH(A216,Data[Label],0))</f>
        <v>560.4</v>
      </c>
      <c r="H216" s="177">
        <f t="shared" si="28"/>
        <v>8157</v>
      </c>
      <c r="I216" s="177">
        <f t="shared" si="29"/>
        <v>4571182.8</v>
      </c>
      <c r="J216" s="177">
        <f t="shared" si="30"/>
        <v>0</v>
      </c>
      <c r="K216" s="177">
        <f t="shared" si="31"/>
        <v>4571182.8</v>
      </c>
      <c r="L216" s="177">
        <f t="shared" si="32"/>
        <v>104857.79999999981</v>
      </c>
      <c r="M216" s="178">
        <f t="shared" si="33"/>
        <v>2.3477422713304521E-2</v>
      </c>
      <c r="N216" s="179">
        <f t="shared" si="34"/>
        <v>1.8999999999999773</v>
      </c>
      <c r="O216" s="180">
        <f t="shared" si="35"/>
        <v>3.401969561324937E-3</v>
      </c>
    </row>
    <row r="217" spans="1:15" x14ac:dyDescent="0.55000000000000004">
      <c r="A217" s="198" t="s">
        <v>210</v>
      </c>
      <c r="B217" s="181">
        <f>INDEX(Data[FY2026 Budget Enrollment],MATCH(A217,Data[Label],0))</f>
        <v>471.6</v>
      </c>
      <c r="C217" s="182">
        <f>INDEX(Data[FY26 RPDC Per Student],MATCH(A217,Data[Label],0))</f>
        <v>8115</v>
      </c>
      <c r="D217" s="182">
        <f>INDEX(Data[FY2026 RPDC Total],MATCH(A217,Data[Label],0))</f>
        <v>3827034</v>
      </c>
      <c r="E217" s="182">
        <f>INDEX(Data[FY2026 RPDC Budget Guarantee],MATCH(A217,Data[Label],0))</f>
        <v>0</v>
      </c>
      <c r="F217" s="194">
        <f t="shared" si="27"/>
        <v>3827034</v>
      </c>
      <c r="G217" s="181">
        <f>INDEX(Data[FY2027 Budget Enrollment],MATCH(A217,Data[Label],0))</f>
        <v>439.6</v>
      </c>
      <c r="H217" s="182">
        <f t="shared" si="28"/>
        <v>8275</v>
      </c>
      <c r="I217" s="182">
        <f t="shared" si="29"/>
        <v>3637690</v>
      </c>
      <c r="J217" s="182">
        <f t="shared" si="30"/>
        <v>227614</v>
      </c>
      <c r="K217" s="182">
        <f t="shared" si="31"/>
        <v>3865304</v>
      </c>
      <c r="L217" s="182">
        <f t="shared" si="32"/>
        <v>38270</v>
      </c>
      <c r="M217" s="183">
        <f t="shared" si="33"/>
        <v>9.9999111583539621E-3</v>
      </c>
      <c r="N217" s="184">
        <f t="shared" si="34"/>
        <v>-32</v>
      </c>
      <c r="O217" s="185">
        <f t="shared" si="35"/>
        <v>-6.7854113655640369E-2</v>
      </c>
    </row>
    <row r="218" spans="1:15" x14ac:dyDescent="0.55000000000000004">
      <c r="A218" s="197" t="s">
        <v>211</v>
      </c>
      <c r="B218" s="176">
        <f>INDEX(Data[FY2026 Budget Enrollment],MATCH(A218,Data[Label],0))</f>
        <v>2191.6999999999998</v>
      </c>
      <c r="C218" s="177">
        <f>INDEX(Data[FY26 RPDC Per Student],MATCH(A218,Data[Label],0))</f>
        <v>7988</v>
      </c>
      <c r="D218" s="177">
        <f>INDEX(Data[FY2026 RPDC Total],MATCH(A218,Data[Label],0))</f>
        <v>17507300</v>
      </c>
      <c r="E218" s="177">
        <f>INDEX(Data[FY2026 RPDC Budget Guarantee],MATCH(A218,Data[Label],0))</f>
        <v>0</v>
      </c>
      <c r="F218" s="193">
        <f t="shared" si="27"/>
        <v>17507300</v>
      </c>
      <c r="G218" s="176">
        <f>INDEX(Data[FY2027 Budget Enrollment],MATCH(A218,Data[Label],0))</f>
        <v>2156.9</v>
      </c>
      <c r="H218" s="177">
        <f t="shared" si="28"/>
        <v>8148</v>
      </c>
      <c r="I218" s="177">
        <f t="shared" si="29"/>
        <v>17574421.199999999</v>
      </c>
      <c r="J218" s="177">
        <f t="shared" si="30"/>
        <v>107952</v>
      </c>
      <c r="K218" s="177">
        <f t="shared" si="31"/>
        <v>17682373.199999999</v>
      </c>
      <c r="L218" s="177">
        <f t="shared" si="32"/>
        <v>175073.19999999925</v>
      </c>
      <c r="M218" s="178">
        <f t="shared" si="33"/>
        <v>1.0000011423806026E-2</v>
      </c>
      <c r="N218" s="179">
        <f t="shared" si="34"/>
        <v>-34.799999999999727</v>
      </c>
      <c r="O218" s="180">
        <f t="shared" si="35"/>
        <v>-1.5878085504402853E-2</v>
      </c>
    </row>
    <row r="219" spans="1:15" x14ac:dyDescent="0.55000000000000004">
      <c r="A219" s="198" t="s">
        <v>212</v>
      </c>
      <c r="B219" s="181">
        <f>INDEX(Data[FY2026 Budget Enrollment],MATCH(A219,Data[Label],0))</f>
        <v>2991.3</v>
      </c>
      <c r="C219" s="182">
        <f>INDEX(Data[FY26 RPDC Per Student],MATCH(A219,Data[Label],0))</f>
        <v>7988</v>
      </c>
      <c r="D219" s="182">
        <f>INDEX(Data[FY2026 RPDC Total],MATCH(A219,Data[Label],0))</f>
        <v>23894504</v>
      </c>
      <c r="E219" s="182">
        <f>INDEX(Data[FY2026 RPDC Budget Guarantee],MATCH(A219,Data[Label],0))</f>
        <v>0</v>
      </c>
      <c r="F219" s="194">
        <f t="shared" si="27"/>
        <v>23894504</v>
      </c>
      <c r="G219" s="181">
        <f>INDEX(Data[FY2027 Budget Enrollment],MATCH(A219,Data[Label],0))</f>
        <v>2928.1</v>
      </c>
      <c r="H219" s="182">
        <f t="shared" si="28"/>
        <v>8148</v>
      </c>
      <c r="I219" s="182">
        <f t="shared" si="29"/>
        <v>23858158.800000001</v>
      </c>
      <c r="J219" s="182">
        <f t="shared" si="30"/>
        <v>275290</v>
      </c>
      <c r="K219" s="182">
        <f t="shared" si="31"/>
        <v>24133448.800000001</v>
      </c>
      <c r="L219" s="182">
        <f t="shared" si="32"/>
        <v>238944.80000000075</v>
      </c>
      <c r="M219" s="183">
        <f t="shared" si="33"/>
        <v>9.9999899558492929E-3</v>
      </c>
      <c r="N219" s="184">
        <f t="shared" si="34"/>
        <v>-63.200000000000273</v>
      </c>
      <c r="O219" s="185">
        <f t="shared" si="35"/>
        <v>-2.1127937685956028E-2</v>
      </c>
    </row>
    <row r="220" spans="1:15" x14ac:dyDescent="0.55000000000000004">
      <c r="A220" s="197" t="s">
        <v>213</v>
      </c>
      <c r="B220" s="176">
        <f>INDEX(Data[FY2026 Budget Enrollment],MATCH(A220,Data[Label],0))</f>
        <v>452.1</v>
      </c>
      <c r="C220" s="177">
        <f>INDEX(Data[FY26 RPDC Per Student],MATCH(A220,Data[Label],0))</f>
        <v>7988</v>
      </c>
      <c r="D220" s="177">
        <f>INDEX(Data[FY2026 RPDC Total],MATCH(A220,Data[Label],0))</f>
        <v>3611375</v>
      </c>
      <c r="E220" s="177">
        <f>INDEX(Data[FY2026 RPDC Budget Guarantee],MATCH(A220,Data[Label],0))</f>
        <v>0</v>
      </c>
      <c r="F220" s="193">
        <f t="shared" si="27"/>
        <v>3611375</v>
      </c>
      <c r="G220" s="176">
        <f>INDEX(Data[FY2027 Budget Enrollment],MATCH(A220,Data[Label],0))</f>
        <v>461.3</v>
      </c>
      <c r="H220" s="177">
        <f t="shared" si="28"/>
        <v>8148</v>
      </c>
      <c r="I220" s="177">
        <f t="shared" si="29"/>
        <v>3758672.4</v>
      </c>
      <c r="J220" s="177">
        <f t="shared" si="30"/>
        <v>0</v>
      </c>
      <c r="K220" s="177">
        <f t="shared" si="31"/>
        <v>3758672.4</v>
      </c>
      <c r="L220" s="177">
        <f t="shared" si="32"/>
        <v>147297.39999999991</v>
      </c>
      <c r="M220" s="178">
        <f t="shared" si="33"/>
        <v>4.0787068637291868E-2</v>
      </c>
      <c r="N220" s="179">
        <f t="shared" si="34"/>
        <v>9.1999999999999886</v>
      </c>
      <c r="O220" s="180">
        <f t="shared" si="35"/>
        <v>2.0349480203494776E-2</v>
      </c>
    </row>
    <row r="221" spans="1:15" x14ac:dyDescent="0.55000000000000004">
      <c r="A221" s="198" t="s">
        <v>214</v>
      </c>
      <c r="B221" s="181">
        <f>INDEX(Data[FY2026 Budget Enrollment],MATCH(A221,Data[Label],0))</f>
        <v>391</v>
      </c>
      <c r="C221" s="182">
        <f>INDEX(Data[FY26 RPDC Per Student],MATCH(A221,Data[Label],0))</f>
        <v>8018</v>
      </c>
      <c r="D221" s="182">
        <f>INDEX(Data[FY2026 RPDC Total],MATCH(A221,Data[Label],0))</f>
        <v>3135038</v>
      </c>
      <c r="E221" s="182">
        <f>INDEX(Data[FY2026 RPDC Budget Guarantee],MATCH(A221,Data[Label],0))</f>
        <v>16987</v>
      </c>
      <c r="F221" s="194">
        <f t="shared" si="27"/>
        <v>3152025</v>
      </c>
      <c r="G221" s="181">
        <f>INDEX(Data[FY2027 Budget Enrollment],MATCH(A221,Data[Label],0))</f>
        <v>371</v>
      </c>
      <c r="H221" s="182">
        <f t="shared" si="28"/>
        <v>8178</v>
      </c>
      <c r="I221" s="182">
        <f t="shared" si="29"/>
        <v>3034038</v>
      </c>
      <c r="J221" s="182">
        <f t="shared" si="30"/>
        <v>132350</v>
      </c>
      <c r="K221" s="182">
        <f t="shared" si="31"/>
        <v>3166388</v>
      </c>
      <c r="L221" s="182">
        <f t="shared" si="32"/>
        <v>14363</v>
      </c>
      <c r="M221" s="183">
        <f t="shared" si="33"/>
        <v>4.5567531983407494E-3</v>
      </c>
      <c r="N221" s="184">
        <f t="shared" si="34"/>
        <v>-20</v>
      </c>
      <c r="O221" s="185">
        <f t="shared" si="35"/>
        <v>-5.1150895140664961E-2</v>
      </c>
    </row>
    <row r="222" spans="1:15" x14ac:dyDescent="0.55000000000000004">
      <c r="A222" s="197" t="s">
        <v>215</v>
      </c>
      <c r="B222" s="176">
        <f>INDEX(Data[FY2026 Budget Enrollment],MATCH(A222,Data[Label],0))</f>
        <v>491</v>
      </c>
      <c r="C222" s="177">
        <f>INDEX(Data[FY26 RPDC Per Student],MATCH(A222,Data[Label],0))</f>
        <v>8068</v>
      </c>
      <c r="D222" s="177">
        <f>INDEX(Data[FY2026 RPDC Total],MATCH(A222,Data[Label],0))</f>
        <v>3961388</v>
      </c>
      <c r="E222" s="177">
        <f>INDEX(Data[FY2026 RPDC Budget Guarantee],MATCH(A222,Data[Label],0))</f>
        <v>86402</v>
      </c>
      <c r="F222" s="193">
        <f t="shared" si="27"/>
        <v>4047790</v>
      </c>
      <c r="G222" s="176">
        <f>INDEX(Data[FY2027 Budget Enrollment],MATCH(A222,Data[Label],0))</f>
        <v>467.2</v>
      </c>
      <c r="H222" s="177">
        <f t="shared" si="28"/>
        <v>8228</v>
      </c>
      <c r="I222" s="177">
        <f t="shared" si="29"/>
        <v>3844121.6</v>
      </c>
      <c r="J222" s="177">
        <f t="shared" si="30"/>
        <v>156880</v>
      </c>
      <c r="K222" s="177">
        <f t="shared" si="31"/>
        <v>4001001.6</v>
      </c>
      <c r="L222" s="177">
        <f t="shared" si="32"/>
        <v>-46788.399999999907</v>
      </c>
      <c r="M222" s="178">
        <f t="shared" si="33"/>
        <v>-1.1558998861106902E-2</v>
      </c>
      <c r="N222" s="179">
        <f t="shared" si="34"/>
        <v>-23.800000000000011</v>
      </c>
      <c r="O222" s="180">
        <f t="shared" si="35"/>
        <v>-4.8472505091649715E-2</v>
      </c>
    </row>
    <row r="223" spans="1:15" x14ac:dyDescent="0.55000000000000004">
      <c r="A223" s="198" t="s">
        <v>216</v>
      </c>
      <c r="B223" s="181">
        <f>INDEX(Data[FY2026 Budget Enrollment],MATCH(A223,Data[Label],0))</f>
        <v>489.6</v>
      </c>
      <c r="C223" s="182">
        <f>INDEX(Data[FY26 RPDC Per Student],MATCH(A223,Data[Label],0))</f>
        <v>8074</v>
      </c>
      <c r="D223" s="182">
        <f>INDEX(Data[FY2026 RPDC Total],MATCH(A223,Data[Label],0))</f>
        <v>3953030</v>
      </c>
      <c r="E223" s="182">
        <f>INDEX(Data[FY2026 RPDC Budget Guarantee],MATCH(A223,Data[Label],0))</f>
        <v>145807</v>
      </c>
      <c r="F223" s="194">
        <f t="shared" si="27"/>
        <v>4098837</v>
      </c>
      <c r="G223" s="181">
        <f>INDEX(Data[FY2027 Budget Enrollment],MATCH(A223,Data[Label],0))</f>
        <v>512.6</v>
      </c>
      <c r="H223" s="182">
        <f t="shared" si="28"/>
        <v>8234</v>
      </c>
      <c r="I223" s="182">
        <f t="shared" si="29"/>
        <v>4220748.4000000004</v>
      </c>
      <c r="J223" s="182">
        <f t="shared" si="30"/>
        <v>0</v>
      </c>
      <c r="K223" s="182">
        <f t="shared" si="31"/>
        <v>4220748.4000000004</v>
      </c>
      <c r="L223" s="182">
        <f t="shared" si="32"/>
        <v>121911.40000000037</v>
      </c>
      <c r="M223" s="183">
        <f t="shared" si="33"/>
        <v>2.9742924639355107E-2</v>
      </c>
      <c r="N223" s="184">
        <f t="shared" si="34"/>
        <v>23</v>
      </c>
      <c r="O223" s="185">
        <f t="shared" si="35"/>
        <v>4.6977124183006536E-2</v>
      </c>
    </row>
    <row r="224" spans="1:15" x14ac:dyDescent="0.55000000000000004">
      <c r="A224" s="197" t="s">
        <v>217</v>
      </c>
      <c r="B224" s="176">
        <f>INDEX(Data[FY2026 Budget Enrollment],MATCH(A224,Data[Label],0))</f>
        <v>3454.2</v>
      </c>
      <c r="C224" s="177">
        <f>INDEX(Data[FY26 RPDC Per Student],MATCH(A224,Data[Label],0))</f>
        <v>7988</v>
      </c>
      <c r="D224" s="177">
        <f>INDEX(Data[FY2026 RPDC Total],MATCH(A224,Data[Label],0))</f>
        <v>27592150</v>
      </c>
      <c r="E224" s="177">
        <f>INDEX(Data[FY2026 RPDC Budget Guarantee],MATCH(A224,Data[Label],0))</f>
        <v>0</v>
      </c>
      <c r="F224" s="193">
        <f t="shared" si="27"/>
        <v>27592150</v>
      </c>
      <c r="G224" s="176">
        <f>INDEX(Data[FY2027 Budget Enrollment],MATCH(A224,Data[Label],0))</f>
        <v>3494.8</v>
      </c>
      <c r="H224" s="177">
        <f t="shared" si="28"/>
        <v>8148</v>
      </c>
      <c r="I224" s="177">
        <f t="shared" si="29"/>
        <v>28475630.400000002</v>
      </c>
      <c r="J224" s="177">
        <f t="shared" si="30"/>
        <v>0</v>
      </c>
      <c r="K224" s="177">
        <f t="shared" si="31"/>
        <v>28475630.400000002</v>
      </c>
      <c r="L224" s="177">
        <f t="shared" si="32"/>
        <v>883480.40000000224</v>
      </c>
      <c r="M224" s="178">
        <f t="shared" si="33"/>
        <v>3.201926634930595E-2</v>
      </c>
      <c r="N224" s="179">
        <f t="shared" si="34"/>
        <v>40.600000000000364</v>
      </c>
      <c r="O224" s="180">
        <f t="shared" si="35"/>
        <v>1.1753806959643438E-2</v>
      </c>
    </row>
    <row r="225" spans="1:15" x14ac:dyDescent="0.55000000000000004">
      <c r="A225" s="198" t="s">
        <v>218</v>
      </c>
      <c r="B225" s="181">
        <f>INDEX(Data[FY2026 Budget Enrollment],MATCH(A225,Data[Label],0))</f>
        <v>907</v>
      </c>
      <c r="C225" s="182">
        <f>INDEX(Data[FY26 RPDC Per Student],MATCH(A225,Data[Label],0))</f>
        <v>7988</v>
      </c>
      <c r="D225" s="182">
        <f>INDEX(Data[FY2026 RPDC Total],MATCH(A225,Data[Label],0))</f>
        <v>7245116</v>
      </c>
      <c r="E225" s="182">
        <f>INDEX(Data[FY2026 RPDC Budget Guarantee],MATCH(A225,Data[Label],0))</f>
        <v>0</v>
      </c>
      <c r="F225" s="194">
        <f t="shared" si="27"/>
        <v>7245116</v>
      </c>
      <c r="G225" s="181">
        <f>INDEX(Data[FY2027 Budget Enrollment],MATCH(A225,Data[Label],0))</f>
        <v>873.2</v>
      </c>
      <c r="H225" s="182">
        <f t="shared" si="28"/>
        <v>8148</v>
      </c>
      <c r="I225" s="182">
        <f t="shared" si="29"/>
        <v>7114833.6000000006</v>
      </c>
      <c r="J225" s="182">
        <f t="shared" si="30"/>
        <v>202734</v>
      </c>
      <c r="K225" s="182">
        <f t="shared" si="31"/>
        <v>7317567.6000000006</v>
      </c>
      <c r="L225" s="182">
        <f t="shared" si="32"/>
        <v>72451.600000000559</v>
      </c>
      <c r="M225" s="183">
        <f t="shared" si="33"/>
        <v>1.0000060730566709E-2</v>
      </c>
      <c r="N225" s="184">
        <f t="shared" si="34"/>
        <v>-33.799999999999955</v>
      </c>
      <c r="O225" s="185">
        <f t="shared" si="35"/>
        <v>-3.7265711135611855E-2</v>
      </c>
    </row>
    <row r="226" spans="1:15" x14ac:dyDescent="0.55000000000000004">
      <c r="A226" s="197" t="s">
        <v>219</v>
      </c>
      <c r="B226" s="176">
        <f>INDEX(Data[FY2026 Budget Enrollment],MATCH(A226,Data[Label],0))</f>
        <v>1269.8</v>
      </c>
      <c r="C226" s="177">
        <f>INDEX(Data[FY26 RPDC Per Student],MATCH(A226,Data[Label],0))</f>
        <v>7989</v>
      </c>
      <c r="D226" s="177">
        <f>INDEX(Data[FY2026 RPDC Total],MATCH(A226,Data[Label],0))</f>
        <v>10144432</v>
      </c>
      <c r="E226" s="177">
        <f>INDEX(Data[FY2026 RPDC Budget Guarantee],MATCH(A226,Data[Label],0))</f>
        <v>288489</v>
      </c>
      <c r="F226" s="193">
        <f t="shared" si="27"/>
        <v>10432921</v>
      </c>
      <c r="G226" s="176">
        <f>INDEX(Data[FY2027 Budget Enrollment],MATCH(A226,Data[Label],0))</f>
        <v>1229</v>
      </c>
      <c r="H226" s="177">
        <f t="shared" si="28"/>
        <v>8149</v>
      </c>
      <c r="I226" s="177">
        <f t="shared" si="29"/>
        <v>10015121</v>
      </c>
      <c r="J226" s="177">
        <f t="shared" si="30"/>
        <v>230755</v>
      </c>
      <c r="K226" s="177">
        <f t="shared" si="31"/>
        <v>10245876</v>
      </c>
      <c r="L226" s="177">
        <f t="shared" si="32"/>
        <v>-187045</v>
      </c>
      <c r="M226" s="178">
        <f t="shared" si="33"/>
        <v>-1.7928344324662289E-2</v>
      </c>
      <c r="N226" s="179">
        <f t="shared" si="34"/>
        <v>-40.799999999999955</v>
      </c>
      <c r="O226" s="180">
        <f t="shared" si="35"/>
        <v>-3.2131044258938382E-2</v>
      </c>
    </row>
    <row r="227" spans="1:15" x14ac:dyDescent="0.55000000000000004">
      <c r="A227" s="198" t="s">
        <v>220</v>
      </c>
      <c r="B227" s="181">
        <f>INDEX(Data[FY2026 Budget Enrollment],MATCH(A227,Data[Label],0))</f>
        <v>551</v>
      </c>
      <c r="C227" s="182">
        <f>INDEX(Data[FY26 RPDC Per Student],MATCH(A227,Data[Label],0))</f>
        <v>7988</v>
      </c>
      <c r="D227" s="182">
        <f>INDEX(Data[FY2026 RPDC Total],MATCH(A227,Data[Label],0))</f>
        <v>4401388</v>
      </c>
      <c r="E227" s="182">
        <f>INDEX(Data[FY2026 RPDC Budget Guarantee],MATCH(A227,Data[Label],0))</f>
        <v>264497</v>
      </c>
      <c r="F227" s="194">
        <f t="shared" si="27"/>
        <v>4665885</v>
      </c>
      <c r="G227" s="181">
        <f>INDEX(Data[FY2027 Budget Enrollment],MATCH(A227,Data[Label],0))</f>
        <v>521.20000000000005</v>
      </c>
      <c r="H227" s="182">
        <f t="shared" si="28"/>
        <v>8148</v>
      </c>
      <c r="I227" s="182">
        <f t="shared" si="29"/>
        <v>4246737.6000000006</v>
      </c>
      <c r="J227" s="182">
        <f t="shared" si="30"/>
        <v>198664</v>
      </c>
      <c r="K227" s="182">
        <f t="shared" si="31"/>
        <v>4445401.6000000006</v>
      </c>
      <c r="L227" s="182">
        <f t="shared" si="32"/>
        <v>-220483.39999999944</v>
      </c>
      <c r="M227" s="183">
        <f t="shared" si="33"/>
        <v>-4.7254357962101388E-2</v>
      </c>
      <c r="N227" s="184">
        <f t="shared" si="34"/>
        <v>-29.799999999999955</v>
      </c>
      <c r="O227" s="185">
        <f t="shared" si="35"/>
        <v>-5.4083484573502642E-2</v>
      </c>
    </row>
    <row r="228" spans="1:15" x14ac:dyDescent="0.55000000000000004">
      <c r="A228" s="197" t="s">
        <v>221</v>
      </c>
      <c r="B228" s="176">
        <f>INDEX(Data[FY2026 Budget Enrollment],MATCH(A228,Data[Label],0))</f>
        <v>1015.4</v>
      </c>
      <c r="C228" s="177">
        <f>INDEX(Data[FY26 RPDC Per Student],MATCH(A228,Data[Label],0))</f>
        <v>7988</v>
      </c>
      <c r="D228" s="177">
        <f>INDEX(Data[FY2026 RPDC Total],MATCH(A228,Data[Label],0))</f>
        <v>8111015</v>
      </c>
      <c r="E228" s="177">
        <f>INDEX(Data[FY2026 RPDC Budget Guarantee],MATCH(A228,Data[Label],0))</f>
        <v>0</v>
      </c>
      <c r="F228" s="193">
        <f t="shared" si="27"/>
        <v>8111015</v>
      </c>
      <c r="G228" s="176">
        <f>INDEX(Data[FY2027 Budget Enrollment],MATCH(A228,Data[Label],0))</f>
        <v>976.7</v>
      </c>
      <c r="H228" s="177">
        <f t="shared" si="28"/>
        <v>8148</v>
      </c>
      <c r="I228" s="177">
        <f t="shared" si="29"/>
        <v>7958151.6000000006</v>
      </c>
      <c r="J228" s="177">
        <f t="shared" si="30"/>
        <v>233974</v>
      </c>
      <c r="K228" s="177">
        <f t="shared" si="31"/>
        <v>8192125.6000000006</v>
      </c>
      <c r="L228" s="177">
        <f t="shared" si="32"/>
        <v>81110.600000000559</v>
      </c>
      <c r="M228" s="178">
        <f t="shared" si="33"/>
        <v>1.0000055480109526E-2</v>
      </c>
      <c r="N228" s="179">
        <f t="shared" si="34"/>
        <v>-38.699999999999932</v>
      </c>
      <c r="O228" s="180">
        <f t="shared" si="35"/>
        <v>-3.811305889304701E-2</v>
      </c>
    </row>
    <row r="229" spans="1:15" x14ac:dyDescent="0.55000000000000004">
      <c r="A229" s="198" t="s">
        <v>222</v>
      </c>
      <c r="B229" s="181">
        <f>INDEX(Data[FY2026 Budget Enrollment],MATCH(A229,Data[Label],0))</f>
        <v>193.9</v>
      </c>
      <c r="C229" s="182">
        <f>INDEX(Data[FY26 RPDC Per Student],MATCH(A229,Data[Label],0))</f>
        <v>7988</v>
      </c>
      <c r="D229" s="182">
        <f>INDEX(Data[FY2026 RPDC Total],MATCH(A229,Data[Label],0))</f>
        <v>1548873</v>
      </c>
      <c r="E229" s="182">
        <f>INDEX(Data[FY2026 RPDC Budget Guarantee],MATCH(A229,Data[Label],0))</f>
        <v>0</v>
      </c>
      <c r="F229" s="194">
        <f t="shared" si="27"/>
        <v>1548873</v>
      </c>
      <c r="G229" s="181">
        <f>INDEX(Data[FY2027 Budget Enrollment],MATCH(A229,Data[Label],0))</f>
        <v>181.9</v>
      </c>
      <c r="H229" s="182">
        <f t="shared" si="28"/>
        <v>8148</v>
      </c>
      <c r="I229" s="182">
        <f t="shared" si="29"/>
        <v>1482121.2</v>
      </c>
      <c r="J229" s="182">
        <f t="shared" si="30"/>
        <v>82241</v>
      </c>
      <c r="K229" s="182">
        <f t="shared" si="31"/>
        <v>1564362.2</v>
      </c>
      <c r="L229" s="182">
        <f t="shared" si="32"/>
        <v>15489.199999999953</v>
      </c>
      <c r="M229" s="183">
        <f t="shared" si="33"/>
        <v>1.0000303446441349E-2</v>
      </c>
      <c r="N229" s="184">
        <f t="shared" si="34"/>
        <v>-12</v>
      </c>
      <c r="O229" s="185">
        <f t="shared" si="35"/>
        <v>-6.1887570912841666E-2</v>
      </c>
    </row>
    <row r="230" spans="1:15" x14ac:dyDescent="0.55000000000000004">
      <c r="A230" s="197" t="s">
        <v>223</v>
      </c>
      <c r="B230" s="176">
        <f>INDEX(Data[FY2026 Budget Enrollment],MATCH(A230,Data[Label],0))</f>
        <v>137</v>
      </c>
      <c r="C230" s="177">
        <f>INDEX(Data[FY26 RPDC Per Student],MATCH(A230,Data[Label],0))</f>
        <v>7988</v>
      </c>
      <c r="D230" s="177">
        <f>INDEX(Data[FY2026 RPDC Total],MATCH(A230,Data[Label],0))</f>
        <v>1094356</v>
      </c>
      <c r="E230" s="177">
        <f>INDEX(Data[FY2026 RPDC Budget Guarantee],MATCH(A230,Data[Label],0))</f>
        <v>201152</v>
      </c>
      <c r="F230" s="193">
        <f t="shared" si="27"/>
        <v>1295508</v>
      </c>
      <c r="G230" s="176">
        <f>INDEX(Data[FY2027 Budget Enrollment],MATCH(A230,Data[Label],0))</f>
        <v>100</v>
      </c>
      <c r="H230" s="177">
        <f t="shared" si="28"/>
        <v>8148</v>
      </c>
      <c r="I230" s="177">
        <f t="shared" si="29"/>
        <v>814800</v>
      </c>
      <c r="J230" s="177">
        <f t="shared" si="30"/>
        <v>290500</v>
      </c>
      <c r="K230" s="177">
        <f t="shared" si="31"/>
        <v>1105300</v>
      </c>
      <c r="L230" s="177">
        <f t="shared" si="32"/>
        <v>-190208</v>
      </c>
      <c r="M230" s="178">
        <f t="shared" si="33"/>
        <v>-0.14682116976506512</v>
      </c>
      <c r="N230" s="179">
        <f t="shared" si="34"/>
        <v>-37</v>
      </c>
      <c r="O230" s="180">
        <f t="shared" si="35"/>
        <v>-0.27007299270072993</v>
      </c>
    </row>
    <row r="231" spans="1:15" x14ac:dyDescent="0.55000000000000004">
      <c r="A231" s="198" t="s">
        <v>224</v>
      </c>
      <c r="B231" s="181">
        <f>INDEX(Data[FY2026 Budget Enrollment],MATCH(A231,Data[Label],0))</f>
        <v>878.4</v>
      </c>
      <c r="C231" s="182">
        <f>INDEX(Data[FY26 RPDC Per Student],MATCH(A231,Data[Label],0))</f>
        <v>8005</v>
      </c>
      <c r="D231" s="182">
        <f>INDEX(Data[FY2026 RPDC Total],MATCH(A231,Data[Label],0))</f>
        <v>7031592</v>
      </c>
      <c r="E231" s="182">
        <f>INDEX(Data[FY2026 RPDC Budget Guarantee],MATCH(A231,Data[Label],0))</f>
        <v>118886</v>
      </c>
      <c r="F231" s="194">
        <f t="shared" si="27"/>
        <v>7150478</v>
      </c>
      <c r="G231" s="181">
        <f>INDEX(Data[FY2027 Budget Enrollment],MATCH(A231,Data[Label],0))</f>
        <v>876.6</v>
      </c>
      <c r="H231" s="182">
        <f t="shared" si="28"/>
        <v>8165</v>
      </c>
      <c r="I231" s="182">
        <f t="shared" si="29"/>
        <v>7157439</v>
      </c>
      <c r="J231" s="182">
        <f t="shared" si="30"/>
        <v>0</v>
      </c>
      <c r="K231" s="182">
        <f t="shared" si="31"/>
        <v>7157439</v>
      </c>
      <c r="L231" s="182">
        <f t="shared" si="32"/>
        <v>6961</v>
      </c>
      <c r="M231" s="183">
        <f t="shared" si="33"/>
        <v>9.7350135193759071E-4</v>
      </c>
      <c r="N231" s="184">
        <f t="shared" si="34"/>
        <v>-1.7999999999999545</v>
      </c>
      <c r="O231" s="185">
        <f t="shared" si="35"/>
        <v>-2.049180327868801E-3</v>
      </c>
    </row>
    <row r="232" spans="1:15" x14ac:dyDescent="0.55000000000000004">
      <c r="A232" s="197" t="s">
        <v>225</v>
      </c>
      <c r="B232" s="176">
        <f>INDEX(Data[FY2026 Budget Enrollment],MATCH(A232,Data[Label],0))</f>
        <v>2196</v>
      </c>
      <c r="C232" s="177">
        <f>INDEX(Data[FY26 RPDC Per Student],MATCH(A232,Data[Label],0))</f>
        <v>7988</v>
      </c>
      <c r="D232" s="177">
        <f>INDEX(Data[FY2026 RPDC Total],MATCH(A232,Data[Label],0))</f>
        <v>17541648</v>
      </c>
      <c r="E232" s="177">
        <f>INDEX(Data[FY2026 RPDC Budget Guarantee],MATCH(A232,Data[Label],0))</f>
        <v>20037</v>
      </c>
      <c r="F232" s="193">
        <f t="shared" si="27"/>
        <v>17561685</v>
      </c>
      <c r="G232" s="176">
        <f>INDEX(Data[FY2027 Budget Enrollment],MATCH(A232,Data[Label],0))</f>
        <v>2197.8000000000002</v>
      </c>
      <c r="H232" s="177">
        <f t="shared" si="28"/>
        <v>8148</v>
      </c>
      <c r="I232" s="177">
        <f t="shared" si="29"/>
        <v>17907674.400000002</v>
      </c>
      <c r="J232" s="177">
        <f t="shared" si="30"/>
        <v>0</v>
      </c>
      <c r="K232" s="177">
        <f t="shared" si="31"/>
        <v>17907674.400000002</v>
      </c>
      <c r="L232" s="177">
        <f t="shared" si="32"/>
        <v>345989.40000000224</v>
      </c>
      <c r="M232" s="178">
        <f t="shared" si="33"/>
        <v>1.9701378313072022E-2</v>
      </c>
      <c r="N232" s="179">
        <f t="shared" si="34"/>
        <v>1.8000000000001819</v>
      </c>
      <c r="O232" s="180">
        <f t="shared" si="35"/>
        <v>8.1967213114762382E-4</v>
      </c>
    </row>
    <row r="233" spans="1:15" x14ac:dyDescent="0.55000000000000004">
      <c r="A233" s="198" t="s">
        <v>226</v>
      </c>
      <c r="B233" s="181">
        <f>INDEX(Data[FY2026 Budget Enrollment],MATCH(A233,Data[Label],0))</f>
        <v>5124.3</v>
      </c>
      <c r="C233" s="182">
        <f>INDEX(Data[FY26 RPDC Per Student],MATCH(A233,Data[Label],0))</f>
        <v>7988</v>
      </c>
      <c r="D233" s="182">
        <f>INDEX(Data[FY2026 RPDC Total],MATCH(A233,Data[Label],0))</f>
        <v>40932908</v>
      </c>
      <c r="E233" s="182">
        <f>INDEX(Data[FY2026 RPDC Budget Guarantee],MATCH(A233,Data[Label],0))</f>
        <v>0</v>
      </c>
      <c r="F233" s="194">
        <f t="shared" si="27"/>
        <v>40932908</v>
      </c>
      <c r="G233" s="181">
        <f>INDEX(Data[FY2027 Budget Enrollment],MATCH(A233,Data[Label],0))</f>
        <v>4994.1000000000004</v>
      </c>
      <c r="H233" s="182">
        <f t="shared" si="28"/>
        <v>8148</v>
      </c>
      <c r="I233" s="182">
        <f t="shared" si="29"/>
        <v>40691926.800000004</v>
      </c>
      <c r="J233" s="182">
        <f t="shared" si="30"/>
        <v>650310</v>
      </c>
      <c r="K233" s="182">
        <f t="shared" si="31"/>
        <v>41342236.800000004</v>
      </c>
      <c r="L233" s="182">
        <f t="shared" si="32"/>
        <v>409328.80000000447</v>
      </c>
      <c r="M233" s="183">
        <f t="shared" si="33"/>
        <v>9.9999931595381505E-3</v>
      </c>
      <c r="N233" s="184">
        <f t="shared" si="34"/>
        <v>-130.19999999999982</v>
      </c>
      <c r="O233" s="185">
        <f t="shared" si="35"/>
        <v>-2.5408348457350235E-2</v>
      </c>
    </row>
    <row r="234" spans="1:15" x14ac:dyDescent="0.55000000000000004">
      <c r="A234" s="197" t="s">
        <v>227</v>
      </c>
      <c r="B234" s="176">
        <f>INDEX(Data[FY2026 Budget Enrollment],MATCH(A234,Data[Label],0))</f>
        <v>990.1</v>
      </c>
      <c r="C234" s="177">
        <f>INDEX(Data[FY26 RPDC Per Student],MATCH(A234,Data[Label],0))</f>
        <v>7988</v>
      </c>
      <c r="D234" s="177">
        <f>INDEX(Data[FY2026 RPDC Total],MATCH(A234,Data[Label],0))</f>
        <v>7908919</v>
      </c>
      <c r="E234" s="177">
        <f>INDEX(Data[FY2026 RPDC Budget Guarantee],MATCH(A234,Data[Label],0))</f>
        <v>0</v>
      </c>
      <c r="F234" s="193">
        <f t="shared" si="27"/>
        <v>7908919</v>
      </c>
      <c r="G234" s="176">
        <f>INDEX(Data[FY2027 Budget Enrollment],MATCH(A234,Data[Label],0))</f>
        <v>944.1</v>
      </c>
      <c r="H234" s="177">
        <f t="shared" si="28"/>
        <v>8148</v>
      </c>
      <c r="I234" s="177">
        <f t="shared" si="29"/>
        <v>7692526.7999999998</v>
      </c>
      <c r="J234" s="177">
        <f t="shared" si="30"/>
        <v>295481</v>
      </c>
      <c r="K234" s="177">
        <f t="shared" si="31"/>
        <v>7988007.7999999998</v>
      </c>
      <c r="L234" s="177">
        <f t="shared" si="32"/>
        <v>79088.799999999814</v>
      </c>
      <c r="M234" s="178">
        <f t="shared" si="33"/>
        <v>9.9999506885833332E-3</v>
      </c>
      <c r="N234" s="179">
        <f t="shared" si="34"/>
        <v>-46</v>
      </c>
      <c r="O234" s="180">
        <f t="shared" si="35"/>
        <v>-4.6459953540046457E-2</v>
      </c>
    </row>
    <row r="235" spans="1:15" x14ac:dyDescent="0.55000000000000004">
      <c r="A235" s="198" t="s">
        <v>228</v>
      </c>
      <c r="B235" s="181">
        <f>INDEX(Data[FY2026 Budget Enrollment],MATCH(A235,Data[Label],0))</f>
        <v>643.5</v>
      </c>
      <c r="C235" s="182">
        <f>INDEX(Data[FY26 RPDC Per Student],MATCH(A235,Data[Label],0))</f>
        <v>7988</v>
      </c>
      <c r="D235" s="182">
        <f>INDEX(Data[FY2026 RPDC Total],MATCH(A235,Data[Label],0))</f>
        <v>5140278</v>
      </c>
      <c r="E235" s="182">
        <f>INDEX(Data[FY2026 RPDC Budget Guarantee],MATCH(A235,Data[Label],0))</f>
        <v>0</v>
      </c>
      <c r="F235" s="194">
        <f t="shared" si="27"/>
        <v>5140278</v>
      </c>
      <c r="G235" s="181">
        <f>INDEX(Data[FY2027 Budget Enrollment],MATCH(A235,Data[Label],0))</f>
        <v>634.9</v>
      </c>
      <c r="H235" s="182">
        <f t="shared" si="28"/>
        <v>8148</v>
      </c>
      <c r="I235" s="182">
        <f t="shared" si="29"/>
        <v>5173165.2</v>
      </c>
      <c r="J235" s="182">
        <f t="shared" si="30"/>
        <v>18516</v>
      </c>
      <c r="K235" s="182">
        <f t="shared" si="31"/>
        <v>5191681.2</v>
      </c>
      <c r="L235" s="182">
        <f t="shared" si="32"/>
        <v>51403.200000000186</v>
      </c>
      <c r="M235" s="183">
        <f t="shared" si="33"/>
        <v>1.0000081707643086E-2</v>
      </c>
      <c r="N235" s="184">
        <f t="shared" si="34"/>
        <v>-8.6000000000000227</v>
      </c>
      <c r="O235" s="185">
        <f t="shared" si="35"/>
        <v>-1.3364413364413399E-2</v>
      </c>
    </row>
    <row r="236" spans="1:15" x14ac:dyDescent="0.55000000000000004">
      <c r="A236" s="197" t="s">
        <v>229</v>
      </c>
      <c r="B236" s="176">
        <f>INDEX(Data[FY2026 Budget Enrollment],MATCH(A236,Data[Label],0))</f>
        <v>188</v>
      </c>
      <c r="C236" s="177">
        <f>INDEX(Data[FY26 RPDC Per Student],MATCH(A236,Data[Label],0))</f>
        <v>8115</v>
      </c>
      <c r="D236" s="177">
        <f>INDEX(Data[FY2026 RPDC Total],MATCH(A236,Data[Label],0))</f>
        <v>1525620</v>
      </c>
      <c r="E236" s="177">
        <f>INDEX(Data[FY2026 RPDC Budget Guarantee],MATCH(A236,Data[Label],0))</f>
        <v>0</v>
      </c>
      <c r="F236" s="193">
        <f t="shared" si="27"/>
        <v>1525620</v>
      </c>
      <c r="G236" s="176">
        <f>INDEX(Data[FY2027 Budget Enrollment],MATCH(A236,Data[Label],0))</f>
        <v>181</v>
      </c>
      <c r="H236" s="177">
        <f t="shared" si="28"/>
        <v>8275</v>
      </c>
      <c r="I236" s="177">
        <f t="shared" si="29"/>
        <v>1497775</v>
      </c>
      <c r="J236" s="177">
        <f t="shared" si="30"/>
        <v>43101</v>
      </c>
      <c r="K236" s="177">
        <f t="shared" si="31"/>
        <v>1540876</v>
      </c>
      <c r="L236" s="177">
        <f t="shared" si="32"/>
        <v>15256</v>
      </c>
      <c r="M236" s="178">
        <f t="shared" si="33"/>
        <v>9.9998689057563487E-3</v>
      </c>
      <c r="N236" s="179">
        <f t="shared" si="34"/>
        <v>-7</v>
      </c>
      <c r="O236" s="180">
        <f t="shared" si="35"/>
        <v>-3.7234042553191488E-2</v>
      </c>
    </row>
    <row r="237" spans="1:15" x14ac:dyDescent="0.55000000000000004">
      <c r="A237" s="198" t="s">
        <v>230</v>
      </c>
      <c r="B237" s="181">
        <f>INDEX(Data[FY2026 Budget Enrollment],MATCH(A237,Data[Label],0))</f>
        <v>527.20000000000005</v>
      </c>
      <c r="C237" s="182">
        <f>INDEX(Data[FY26 RPDC Per Student],MATCH(A237,Data[Label],0))</f>
        <v>7988</v>
      </c>
      <c r="D237" s="182">
        <f>INDEX(Data[FY2026 RPDC Total],MATCH(A237,Data[Label],0))</f>
        <v>4211274</v>
      </c>
      <c r="E237" s="182">
        <f>INDEX(Data[FY2026 RPDC Budget Guarantee],MATCH(A237,Data[Label],0))</f>
        <v>0</v>
      </c>
      <c r="F237" s="194">
        <f t="shared" si="27"/>
        <v>4211274</v>
      </c>
      <c r="G237" s="181">
        <f>INDEX(Data[FY2027 Budget Enrollment],MATCH(A237,Data[Label],0))</f>
        <v>514.79999999999995</v>
      </c>
      <c r="H237" s="182">
        <f t="shared" si="28"/>
        <v>8148</v>
      </c>
      <c r="I237" s="182">
        <f t="shared" si="29"/>
        <v>4194590.3999999994</v>
      </c>
      <c r="J237" s="182">
        <f t="shared" si="30"/>
        <v>58796</v>
      </c>
      <c r="K237" s="182">
        <f t="shared" si="31"/>
        <v>4253386.3999999994</v>
      </c>
      <c r="L237" s="182">
        <f t="shared" si="32"/>
        <v>42112.399999999441</v>
      </c>
      <c r="M237" s="183">
        <f t="shared" si="33"/>
        <v>9.9999192643365035E-3</v>
      </c>
      <c r="N237" s="184">
        <f t="shared" si="34"/>
        <v>-12.400000000000091</v>
      </c>
      <c r="O237" s="185">
        <f t="shared" si="35"/>
        <v>-2.3520485584218685E-2</v>
      </c>
    </row>
    <row r="238" spans="1:15" x14ac:dyDescent="0.55000000000000004">
      <c r="A238" s="197" t="s">
        <v>231</v>
      </c>
      <c r="B238" s="176">
        <f>INDEX(Data[FY2026 Budget Enrollment],MATCH(A238,Data[Label],0))</f>
        <v>2135.6999999999998</v>
      </c>
      <c r="C238" s="177">
        <f>INDEX(Data[FY26 RPDC Per Student],MATCH(A238,Data[Label],0))</f>
        <v>7988</v>
      </c>
      <c r="D238" s="177">
        <f>INDEX(Data[FY2026 RPDC Total],MATCH(A238,Data[Label],0))</f>
        <v>17059972</v>
      </c>
      <c r="E238" s="177">
        <f>INDEX(Data[FY2026 RPDC Budget Guarantee],MATCH(A238,Data[Label],0))</f>
        <v>0</v>
      </c>
      <c r="F238" s="193">
        <f t="shared" si="27"/>
        <v>17059972</v>
      </c>
      <c r="G238" s="176">
        <f>INDEX(Data[FY2027 Budget Enrollment],MATCH(A238,Data[Label],0))</f>
        <v>2103.5</v>
      </c>
      <c r="H238" s="177">
        <f t="shared" si="28"/>
        <v>8148</v>
      </c>
      <c r="I238" s="177">
        <f t="shared" si="29"/>
        <v>17139318</v>
      </c>
      <c r="J238" s="177">
        <f t="shared" si="30"/>
        <v>91254</v>
      </c>
      <c r="K238" s="177">
        <f t="shared" si="31"/>
        <v>17230572</v>
      </c>
      <c r="L238" s="177">
        <f t="shared" si="32"/>
        <v>170600</v>
      </c>
      <c r="M238" s="178">
        <f t="shared" si="33"/>
        <v>1.0000016412688134E-2</v>
      </c>
      <c r="N238" s="179">
        <f t="shared" si="34"/>
        <v>-32.199999999999818</v>
      </c>
      <c r="O238" s="180">
        <f t="shared" si="35"/>
        <v>-1.5077023926581366E-2</v>
      </c>
    </row>
    <row r="239" spans="1:15" x14ac:dyDescent="0.55000000000000004">
      <c r="A239" s="198" t="s">
        <v>232</v>
      </c>
      <c r="B239" s="181">
        <f>INDEX(Data[FY2026 Budget Enrollment],MATCH(A239,Data[Label],0))</f>
        <v>1809.4</v>
      </c>
      <c r="C239" s="182">
        <f>INDEX(Data[FY26 RPDC Per Student],MATCH(A239,Data[Label],0))</f>
        <v>7988</v>
      </c>
      <c r="D239" s="182">
        <f>INDEX(Data[FY2026 RPDC Total],MATCH(A239,Data[Label],0))</f>
        <v>14453487</v>
      </c>
      <c r="E239" s="182">
        <f>INDEX(Data[FY2026 RPDC Budget Guarantee],MATCH(A239,Data[Label],0))</f>
        <v>712416</v>
      </c>
      <c r="F239" s="194">
        <f t="shared" si="27"/>
        <v>15165903</v>
      </c>
      <c r="G239" s="181">
        <f>INDEX(Data[FY2027 Budget Enrollment],MATCH(A239,Data[Label],0))</f>
        <v>1796.4</v>
      </c>
      <c r="H239" s="182">
        <f t="shared" si="28"/>
        <v>8148</v>
      </c>
      <c r="I239" s="182">
        <f t="shared" si="29"/>
        <v>14637067.200000001</v>
      </c>
      <c r="J239" s="182">
        <f t="shared" si="30"/>
        <v>0</v>
      </c>
      <c r="K239" s="182">
        <f t="shared" si="31"/>
        <v>14637067.200000001</v>
      </c>
      <c r="L239" s="182">
        <f t="shared" si="32"/>
        <v>-528835.79999999888</v>
      </c>
      <c r="M239" s="183">
        <f t="shared" si="33"/>
        <v>-3.487005027000363E-2</v>
      </c>
      <c r="N239" s="184">
        <f t="shared" si="34"/>
        <v>-13</v>
      </c>
      <c r="O239" s="185">
        <f t="shared" si="35"/>
        <v>-7.1847021111970813E-3</v>
      </c>
    </row>
    <row r="240" spans="1:15" x14ac:dyDescent="0.55000000000000004">
      <c r="A240" s="197" t="s">
        <v>233</v>
      </c>
      <c r="B240" s="176">
        <f>INDEX(Data[FY2026 Budget Enrollment],MATCH(A240,Data[Label],0))</f>
        <v>5497.5</v>
      </c>
      <c r="C240" s="177">
        <f>INDEX(Data[FY26 RPDC Per Student],MATCH(A240,Data[Label],0))</f>
        <v>8081</v>
      </c>
      <c r="D240" s="177">
        <f>INDEX(Data[FY2026 RPDC Total],MATCH(A240,Data[Label],0))</f>
        <v>44425298</v>
      </c>
      <c r="E240" s="177">
        <f>INDEX(Data[FY2026 RPDC Budget Guarantee],MATCH(A240,Data[Label],0))</f>
        <v>0</v>
      </c>
      <c r="F240" s="193">
        <f t="shared" si="27"/>
        <v>44425298</v>
      </c>
      <c r="G240" s="176">
        <f>INDEX(Data[FY2027 Budget Enrollment],MATCH(A240,Data[Label],0))</f>
        <v>5413.2</v>
      </c>
      <c r="H240" s="177">
        <f t="shared" si="28"/>
        <v>8241</v>
      </c>
      <c r="I240" s="177">
        <f t="shared" si="29"/>
        <v>44610181.199999996</v>
      </c>
      <c r="J240" s="177">
        <f t="shared" si="30"/>
        <v>259370</v>
      </c>
      <c r="K240" s="177">
        <f t="shared" si="31"/>
        <v>44869551.199999996</v>
      </c>
      <c r="L240" s="177">
        <f t="shared" si="32"/>
        <v>444253.19999999553</v>
      </c>
      <c r="M240" s="178">
        <f t="shared" si="33"/>
        <v>1.0000004952133254E-2</v>
      </c>
      <c r="N240" s="179">
        <f t="shared" si="34"/>
        <v>-84.300000000000182</v>
      </c>
      <c r="O240" s="180">
        <f t="shared" si="35"/>
        <v>-1.5334242837653512E-2</v>
      </c>
    </row>
    <row r="241" spans="1:15" x14ac:dyDescent="0.55000000000000004">
      <c r="A241" s="198" t="s">
        <v>234</v>
      </c>
      <c r="B241" s="181">
        <f>INDEX(Data[FY2026 Budget Enrollment],MATCH(A241,Data[Label],0))</f>
        <v>699.9</v>
      </c>
      <c r="C241" s="182">
        <f>INDEX(Data[FY26 RPDC Per Student],MATCH(A241,Data[Label],0))</f>
        <v>7988</v>
      </c>
      <c r="D241" s="182">
        <f>INDEX(Data[FY2026 RPDC Total],MATCH(A241,Data[Label],0))</f>
        <v>5590801</v>
      </c>
      <c r="E241" s="182">
        <f>INDEX(Data[FY2026 RPDC Budget Guarantee],MATCH(A241,Data[Label],0))</f>
        <v>0</v>
      </c>
      <c r="F241" s="194">
        <f t="shared" si="27"/>
        <v>5590801</v>
      </c>
      <c r="G241" s="181">
        <f>INDEX(Data[FY2027 Budget Enrollment],MATCH(A241,Data[Label],0))</f>
        <v>685.4</v>
      </c>
      <c r="H241" s="182">
        <f t="shared" si="28"/>
        <v>8148</v>
      </c>
      <c r="I241" s="182">
        <f t="shared" si="29"/>
        <v>5584639.2000000002</v>
      </c>
      <c r="J241" s="182">
        <f t="shared" si="30"/>
        <v>62070</v>
      </c>
      <c r="K241" s="182">
        <f t="shared" si="31"/>
        <v>5646709.2000000002</v>
      </c>
      <c r="L241" s="182">
        <f t="shared" si="32"/>
        <v>55908.200000000186</v>
      </c>
      <c r="M241" s="183">
        <f t="shared" si="33"/>
        <v>1.0000033984396903E-2</v>
      </c>
      <c r="N241" s="184">
        <f t="shared" si="34"/>
        <v>-14.5</v>
      </c>
      <c r="O241" s="185">
        <f t="shared" si="35"/>
        <v>-2.0717245320760108E-2</v>
      </c>
    </row>
    <row r="242" spans="1:15" x14ac:dyDescent="0.55000000000000004">
      <c r="A242" s="197" t="s">
        <v>235</v>
      </c>
      <c r="B242" s="176">
        <f>INDEX(Data[FY2026 Budget Enrollment],MATCH(A242,Data[Label],0))</f>
        <v>659.8</v>
      </c>
      <c r="C242" s="177">
        <f>INDEX(Data[FY26 RPDC Per Student],MATCH(A242,Data[Label],0))</f>
        <v>8083</v>
      </c>
      <c r="D242" s="177">
        <f>INDEX(Data[FY2026 RPDC Total],MATCH(A242,Data[Label],0))</f>
        <v>5333163</v>
      </c>
      <c r="E242" s="177">
        <f>INDEX(Data[FY2026 RPDC Budget Guarantee],MATCH(A242,Data[Label],0))</f>
        <v>0</v>
      </c>
      <c r="F242" s="193">
        <f t="shared" si="27"/>
        <v>5333163</v>
      </c>
      <c r="G242" s="176">
        <f>INDEX(Data[FY2027 Budget Enrollment],MATCH(A242,Data[Label],0))</f>
        <v>657.1</v>
      </c>
      <c r="H242" s="177">
        <f t="shared" si="28"/>
        <v>8243</v>
      </c>
      <c r="I242" s="177">
        <f t="shared" si="29"/>
        <v>5416475.2999999998</v>
      </c>
      <c r="J242" s="177">
        <f t="shared" si="30"/>
        <v>0</v>
      </c>
      <c r="K242" s="177">
        <f t="shared" si="31"/>
        <v>5416475.2999999998</v>
      </c>
      <c r="L242" s="177">
        <f t="shared" si="32"/>
        <v>83312.299999999814</v>
      </c>
      <c r="M242" s="178">
        <f t="shared" si="33"/>
        <v>1.5621555163417997E-2</v>
      </c>
      <c r="N242" s="179">
        <f t="shared" si="34"/>
        <v>-2.6999999999999318</v>
      </c>
      <c r="O242" s="180">
        <f t="shared" si="35"/>
        <v>-4.092149136101746E-3</v>
      </c>
    </row>
    <row r="243" spans="1:15" x14ac:dyDescent="0.55000000000000004">
      <c r="A243" s="198" t="s">
        <v>236</v>
      </c>
      <c r="B243" s="181">
        <f>INDEX(Data[FY2026 Budget Enrollment],MATCH(A243,Data[Label],0))</f>
        <v>738.5</v>
      </c>
      <c r="C243" s="182">
        <f>INDEX(Data[FY26 RPDC Per Student],MATCH(A243,Data[Label],0))</f>
        <v>7988</v>
      </c>
      <c r="D243" s="182">
        <f>INDEX(Data[FY2026 RPDC Total],MATCH(A243,Data[Label],0))</f>
        <v>5899138</v>
      </c>
      <c r="E243" s="182">
        <f>INDEX(Data[FY2026 RPDC Budget Guarantee],MATCH(A243,Data[Label],0))</f>
        <v>86758</v>
      </c>
      <c r="F243" s="194">
        <f t="shared" si="27"/>
        <v>5985896</v>
      </c>
      <c r="G243" s="181">
        <f>INDEX(Data[FY2027 Budget Enrollment],MATCH(A243,Data[Label],0))</f>
        <v>704.5</v>
      </c>
      <c r="H243" s="182">
        <f t="shared" si="28"/>
        <v>8148</v>
      </c>
      <c r="I243" s="182">
        <f t="shared" si="29"/>
        <v>5740266</v>
      </c>
      <c r="J243" s="182">
        <f t="shared" si="30"/>
        <v>217863</v>
      </c>
      <c r="K243" s="182">
        <f t="shared" si="31"/>
        <v>5958129</v>
      </c>
      <c r="L243" s="182">
        <f t="shared" si="32"/>
        <v>-27767</v>
      </c>
      <c r="M243" s="183">
        <f t="shared" si="33"/>
        <v>-4.6387374588532778E-3</v>
      </c>
      <c r="N243" s="184">
        <f t="shared" si="34"/>
        <v>-34</v>
      </c>
      <c r="O243" s="185">
        <f t="shared" si="35"/>
        <v>-4.6039268788083954E-2</v>
      </c>
    </row>
    <row r="244" spans="1:15" x14ac:dyDescent="0.55000000000000004">
      <c r="A244" s="197" t="s">
        <v>237</v>
      </c>
      <c r="B244" s="176">
        <f>INDEX(Data[FY2026 Budget Enrollment],MATCH(A244,Data[Label],0))</f>
        <v>972.9</v>
      </c>
      <c r="C244" s="177">
        <f>INDEX(Data[FY26 RPDC Per Student],MATCH(A244,Data[Label],0))</f>
        <v>7988</v>
      </c>
      <c r="D244" s="177">
        <f>INDEX(Data[FY2026 RPDC Total],MATCH(A244,Data[Label],0))</f>
        <v>7771525</v>
      </c>
      <c r="E244" s="177">
        <f>INDEX(Data[FY2026 RPDC Budget Guarantee],MATCH(A244,Data[Label],0))</f>
        <v>603829</v>
      </c>
      <c r="F244" s="193">
        <f t="shared" si="27"/>
        <v>8375354</v>
      </c>
      <c r="G244" s="176">
        <f>INDEX(Data[FY2027 Budget Enrollment],MATCH(A244,Data[Label],0))</f>
        <v>951.5</v>
      </c>
      <c r="H244" s="177">
        <f t="shared" si="28"/>
        <v>8148</v>
      </c>
      <c r="I244" s="177">
        <f t="shared" si="29"/>
        <v>7752822</v>
      </c>
      <c r="J244" s="177">
        <f t="shared" si="30"/>
        <v>96418</v>
      </c>
      <c r="K244" s="177">
        <f t="shared" si="31"/>
        <v>7849240</v>
      </c>
      <c r="L244" s="177">
        <f t="shared" si="32"/>
        <v>-526114</v>
      </c>
      <c r="M244" s="178">
        <f t="shared" si="33"/>
        <v>-6.2816926902433026E-2</v>
      </c>
      <c r="N244" s="179">
        <f t="shared" si="34"/>
        <v>-21.399999999999977</v>
      </c>
      <c r="O244" s="180">
        <f t="shared" si="35"/>
        <v>-2.1996094151505784E-2</v>
      </c>
    </row>
    <row r="245" spans="1:15" x14ac:dyDescent="0.55000000000000004">
      <c r="A245" s="198" t="s">
        <v>238</v>
      </c>
      <c r="B245" s="181">
        <f>INDEX(Data[FY2026 Budget Enrollment],MATCH(A245,Data[Label],0))</f>
        <v>331.1</v>
      </c>
      <c r="C245" s="182">
        <f>INDEX(Data[FY26 RPDC Per Student],MATCH(A245,Data[Label],0))</f>
        <v>7988</v>
      </c>
      <c r="D245" s="182">
        <f>INDEX(Data[FY2026 RPDC Total],MATCH(A245,Data[Label],0))</f>
        <v>2644827</v>
      </c>
      <c r="E245" s="182">
        <f>INDEX(Data[FY2026 RPDC Budget Guarantee],MATCH(A245,Data[Label],0))</f>
        <v>0</v>
      </c>
      <c r="F245" s="194">
        <f t="shared" si="27"/>
        <v>2644827</v>
      </c>
      <c r="G245" s="181">
        <f>INDEX(Data[FY2027 Budget Enrollment],MATCH(A245,Data[Label],0))</f>
        <v>316.2</v>
      </c>
      <c r="H245" s="182">
        <f t="shared" si="28"/>
        <v>8148</v>
      </c>
      <c r="I245" s="182">
        <f t="shared" si="29"/>
        <v>2576397.6</v>
      </c>
      <c r="J245" s="182">
        <f t="shared" si="30"/>
        <v>94878</v>
      </c>
      <c r="K245" s="182">
        <f t="shared" si="31"/>
        <v>2671275.6</v>
      </c>
      <c r="L245" s="182">
        <f t="shared" si="32"/>
        <v>26448.600000000093</v>
      </c>
      <c r="M245" s="183">
        <f t="shared" si="33"/>
        <v>1.0000124771866022E-2</v>
      </c>
      <c r="N245" s="184">
        <f t="shared" si="34"/>
        <v>-14.900000000000034</v>
      </c>
      <c r="O245" s="185">
        <f t="shared" si="35"/>
        <v>-4.5001510117789287E-2</v>
      </c>
    </row>
    <row r="246" spans="1:15" x14ac:dyDescent="0.55000000000000004">
      <c r="A246" s="197" t="s">
        <v>239</v>
      </c>
      <c r="B246" s="176">
        <f>INDEX(Data[FY2026 Budget Enrollment],MATCH(A246,Data[Label],0))</f>
        <v>354.1</v>
      </c>
      <c r="C246" s="177">
        <f>INDEX(Data[FY26 RPDC Per Student],MATCH(A246,Data[Label],0))</f>
        <v>7988</v>
      </c>
      <c r="D246" s="177">
        <f>INDEX(Data[FY2026 RPDC Total],MATCH(A246,Data[Label],0))</f>
        <v>2828551</v>
      </c>
      <c r="E246" s="177">
        <f>INDEX(Data[FY2026 RPDC Budget Guarantee],MATCH(A246,Data[Label],0))</f>
        <v>0</v>
      </c>
      <c r="F246" s="193">
        <f t="shared" si="27"/>
        <v>2828551</v>
      </c>
      <c r="G246" s="176">
        <f>INDEX(Data[FY2027 Budget Enrollment],MATCH(A246,Data[Label],0))</f>
        <v>354.1</v>
      </c>
      <c r="H246" s="177">
        <f t="shared" si="28"/>
        <v>8148</v>
      </c>
      <c r="I246" s="177">
        <f t="shared" si="29"/>
        <v>2885206.8000000003</v>
      </c>
      <c r="J246" s="177">
        <f t="shared" si="30"/>
        <v>0</v>
      </c>
      <c r="K246" s="177">
        <f t="shared" si="31"/>
        <v>2885206.8000000003</v>
      </c>
      <c r="L246" s="177">
        <f t="shared" si="32"/>
        <v>56655.800000000279</v>
      </c>
      <c r="M246" s="178">
        <f t="shared" si="33"/>
        <v>2.0029972943744086E-2</v>
      </c>
      <c r="N246" s="179">
        <f t="shared" si="34"/>
        <v>0</v>
      </c>
      <c r="O246" s="180">
        <f t="shared" si="35"/>
        <v>0</v>
      </c>
    </row>
    <row r="247" spans="1:15" x14ac:dyDescent="0.55000000000000004">
      <c r="A247" s="198" t="s">
        <v>240</v>
      </c>
      <c r="B247" s="181">
        <f>INDEX(Data[FY2026 Budget Enrollment],MATCH(A247,Data[Label],0))</f>
        <v>362.1</v>
      </c>
      <c r="C247" s="182">
        <f>INDEX(Data[FY26 RPDC Per Student],MATCH(A247,Data[Label],0))</f>
        <v>7988</v>
      </c>
      <c r="D247" s="182">
        <f>INDEX(Data[FY2026 RPDC Total],MATCH(A247,Data[Label],0))</f>
        <v>2892455</v>
      </c>
      <c r="E247" s="182">
        <f>INDEX(Data[FY2026 RPDC Budget Guarantee],MATCH(A247,Data[Label],0))</f>
        <v>40816</v>
      </c>
      <c r="F247" s="194">
        <f t="shared" si="27"/>
        <v>2933271</v>
      </c>
      <c r="G247" s="181">
        <f>INDEX(Data[FY2027 Budget Enrollment],MATCH(A247,Data[Label],0))</f>
        <v>335</v>
      </c>
      <c r="H247" s="182">
        <f t="shared" si="28"/>
        <v>8148</v>
      </c>
      <c r="I247" s="182">
        <f t="shared" si="29"/>
        <v>2729580</v>
      </c>
      <c r="J247" s="182">
        <f t="shared" si="30"/>
        <v>191800</v>
      </c>
      <c r="K247" s="182">
        <f t="shared" si="31"/>
        <v>2921380</v>
      </c>
      <c r="L247" s="182">
        <f t="shared" si="32"/>
        <v>-11891</v>
      </c>
      <c r="M247" s="183">
        <f t="shared" si="33"/>
        <v>-4.0538361440180604E-3</v>
      </c>
      <c r="N247" s="184">
        <f t="shared" si="34"/>
        <v>-27.100000000000023</v>
      </c>
      <c r="O247" s="185">
        <f t="shared" si="35"/>
        <v>-7.484120408726877E-2</v>
      </c>
    </row>
    <row r="248" spans="1:15" x14ac:dyDescent="0.55000000000000004">
      <c r="A248" s="197" t="s">
        <v>241</v>
      </c>
      <c r="B248" s="176">
        <f>INDEX(Data[FY2026 Budget Enrollment],MATCH(A248,Data[Label],0))</f>
        <v>727</v>
      </c>
      <c r="C248" s="177">
        <f>INDEX(Data[FY26 RPDC Per Student],MATCH(A248,Data[Label],0))</f>
        <v>7988</v>
      </c>
      <c r="D248" s="177">
        <f>INDEX(Data[FY2026 RPDC Total],MATCH(A248,Data[Label],0))</f>
        <v>5807276</v>
      </c>
      <c r="E248" s="177">
        <f>INDEX(Data[FY2026 RPDC Budget Guarantee],MATCH(A248,Data[Label],0))</f>
        <v>0</v>
      </c>
      <c r="F248" s="193">
        <f t="shared" si="27"/>
        <v>5807276</v>
      </c>
      <c r="G248" s="176">
        <f>INDEX(Data[FY2027 Budget Enrollment],MATCH(A248,Data[Label],0))</f>
        <v>723</v>
      </c>
      <c r="H248" s="177">
        <f t="shared" si="28"/>
        <v>8148</v>
      </c>
      <c r="I248" s="177">
        <f t="shared" si="29"/>
        <v>5891004</v>
      </c>
      <c r="J248" s="177">
        <f t="shared" si="30"/>
        <v>0</v>
      </c>
      <c r="K248" s="177">
        <f t="shared" si="31"/>
        <v>5891004</v>
      </c>
      <c r="L248" s="177">
        <f t="shared" si="32"/>
        <v>83728</v>
      </c>
      <c r="M248" s="178">
        <f t="shared" si="33"/>
        <v>1.4417775218536195E-2</v>
      </c>
      <c r="N248" s="179">
        <f t="shared" si="34"/>
        <v>-4</v>
      </c>
      <c r="O248" s="180">
        <f t="shared" si="35"/>
        <v>-5.5020632737276479E-3</v>
      </c>
    </row>
    <row r="249" spans="1:15" x14ac:dyDescent="0.55000000000000004">
      <c r="A249" s="198" t="s">
        <v>242</v>
      </c>
      <c r="B249" s="181">
        <f>INDEX(Data[FY2026 Budget Enrollment],MATCH(A249,Data[Label],0))</f>
        <v>788.7</v>
      </c>
      <c r="C249" s="182">
        <f>INDEX(Data[FY26 RPDC Per Student],MATCH(A249,Data[Label],0))</f>
        <v>7989</v>
      </c>
      <c r="D249" s="182">
        <f>INDEX(Data[FY2026 RPDC Total],MATCH(A249,Data[Label],0))</f>
        <v>6300924</v>
      </c>
      <c r="E249" s="182">
        <f>INDEX(Data[FY2026 RPDC Budget Guarantee],MATCH(A249,Data[Label],0))</f>
        <v>191867</v>
      </c>
      <c r="F249" s="194">
        <f t="shared" si="27"/>
        <v>6492791</v>
      </c>
      <c r="G249" s="181">
        <f>INDEX(Data[FY2027 Budget Enrollment],MATCH(A249,Data[Label],0))</f>
        <v>779.7</v>
      </c>
      <c r="H249" s="182">
        <f t="shared" si="28"/>
        <v>8149</v>
      </c>
      <c r="I249" s="182">
        <f t="shared" si="29"/>
        <v>6353775.3000000007</v>
      </c>
      <c r="J249" s="182">
        <f t="shared" si="30"/>
        <v>10158</v>
      </c>
      <c r="K249" s="182">
        <f t="shared" si="31"/>
        <v>6363933.3000000007</v>
      </c>
      <c r="L249" s="182">
        <f t="shared" si="32"/>
        <v>-128857.69999999925</v>
      </c>
      <c r="M249" s="183">
        <f t="shared" si="33"/>
        <v>-1.9846272581390538E-2</v>
      </c>
      <c r="N249" s="184">
        <f t="shared" si="34"/>
        <v>-9</v>
      </c>
      <c r="O249" s="185">
        <f t="shared" si="35"/>
        <v>-1.1411182959300114E-2</v>
      </c>
    </row>
    <row r="250" spans="1:15" x14ac:dyDescent="0.55000000000000004">
      <c r="A250" s="197" t="s">
        <v>243</v>
      </c>
      <c r="B250" s="176">
        <f>INDEX(Data[FY2026 Budget Enrollment],MATCH(A250,Data[Label],0))</f>
        <v>1007.6</v>
      </c>
      <c r="C250" s="177">
        <f>INDEX(Data[FY26 RPDC Per Student],MATCH(A250,Data[Label],0))</f>
        <v>7988</v>
      </c>
      <c r="D250" s="177">
        <f>INDEX(Data[FY2026 RPDC Total],MATCH(A250,Data[Label],0))</f>
        <v>8048709</v>
      </c>
      <c r="E250" s="177">
        <f>INDEX(Data[FY2026 RPDC Budget Guarantee],MATCH(A250,Data[Label],0))</f>
        <v>0</v>
      </c>
      <c r="F250" s="193">
        <f t="shared" si="27"/>
        <v>8048709</v>
      </c>
      <c r="G250" s="176">
        <f>INDEX(Data[FY2027 Budget Enrollment],MATCH(A250,Data[Label],0))</f>
        <v>1001.9</v>
      </c>
      <c r="H250" s="177">
        <f t="shared" si="28"/>
        <v>8148</v>
      </c>
      <c r="I250" s="177">
        <f t="shared" si="29"/>
        <v>8163481.2000000002</v>
      </c>
      <c r="J250" s="177">
        <f t="shared" si="30"/>
        <v>0</v>
      </c>
      <c r="K250" s="177">
        <f t="shared" si="31"/>
        <v>8163481.2000000002</v>
      </c>
      <c r="L250" s="177">
        <f t="shared" si="32"/>
        <v>114772.20000000019</v>
      </c>
      <c r="M250" s="178">
        <f t="shared" si="33"/>
        <v>1.4259703015725898E-2</v>
      </c>
      <c r="N250" s="179">
        <f t="shared" si="34"/>
        <v>-5.7000000000000455</v>
      </c>
      <c r="O250" s="180">
        <f t="shared" si="35"/>
        <v>-5.6570067487098502E-3</v>
      </c>
    </row>
    <row r="251" spans="1:15" x14ac:dyDescent="0.55000000000000004">
      <c r="A251" s="198" t="s">
        <v>244</v>
      </c>
      <c r="B251" s="181">
        <f>INDEX(Data[FY2026 Budget Enrollment],MATCH(A251,Data[Label],0))</f>
        <v>403</v>
      </c>
      <c r="C251" s="182">
        <f>INDEX(Data[FY26 RPDC Per Student],MATCH(A251,Data[Label],0))</f>
        <v>7988</v>
      </c>
      <c r="D251" s="182">
        <f>INDEX(Data[FY2026 RPDC Total],MATCH(A251,Data[Label],0))</f>
        <v>3219164</v>
      </c>
      <c r="E251" s="182">
        <f>INDEX(Data[FY2026 RPDC Budget Guarantee],MATCH(A251,Data[Label],0))</f>
        <v>100625</v>
      </c>
      <c r="F251" s="194">
        <f t="shared" si="27"/>
        <v>3319789</v>
      </c>
      <c r="G251" s="181">
        <f>INDEX(Data[FY2027 Budget Enrollment],MATCH(A251,Data[Label],0))</f>
        <v>385</v>
      </c>
      <c r="H251" s="182">
        <f t="shared" si="28"/>
        <v>8148</v>
      </c>
      <c r="I251" s="182">
        <f t="shared" si="29"/>
        <v>3136980</v>
      </c>
      <c r="J251" s="182">
        <f t="shared" si="30"/>
        <v>114376</v>
      </c>
      <c r="K251" s="182">
        <f t="shared" si="31"/>
        <v>3251356</v>
      </c>
      <c r="L251" s="182">
        <f t="shared" si="32"/>
        <v>-68433</v>
      </c>
      <c r="M251" s="183">
        <f t="shared" si="33"/>
        <v>-2.0613659482575548E-2</v>
      </c>
      <c r="N251" s="184">
        <f t="shared" si="34"/>
        <v>-18</v>
      </c>
      <c r="O251" s="185">
        <f t="shared" si="35"/>
        <v>-4.4665012406947889E-2</v>
      </c>
    </row>
    <row r="252" spans="1:15" x14ac:dyDescent="0.55000000000000004">
      <c r="A252" s="197" t="s">
        <v>245</v>
      </c>
      <c r="B252" s="176">
        <f>INDEX(Data[FY2026 Budget Enrollment],MATCH(A252,Data[Label],0))</f>
        <v>185</v>
      </c>
      <c r="C252" s="177">
        <f>INDEX(Data[FY26 RPDC Per Student],MATCH(A252,Data[Label],0))</f>
        <v>7988</v>
      </c>
      <c r="D252" s="177">
        <f>INDEX(Data[FY2026 RPDC Total],MATCH(A252,Data[Label],0))</f>
        <v>1477780</v>
      </c>
      <c r="E252" s="177">
        <f>INDEX(Data[FY2026 RPDC Budget Guarantee],MATCH(A252,Data[Label],0))</f>
        <v>0</v>
      </c>
      <c r="F252" s="193">
        <f t="shared" si="27"/>
        <v>1477780</v>
      </c>
      <c r="G252" s="176">
        <f>INDEX(Data[FY2027 Budget Enrollment],MATCH(A252,Data[Label],0))</f>
        <v>185</v>
      </c>
      <c r="H252" s="177">
        <f t="shared" si="28"/>
        <v>8148</v>
      </c>
      <c r="I252" s="177">
        <f t="shared" si="29"/>
        <v>1507380</v>
      </c>
      <c r="J252" s="177">
        <f t="shared" si="30"/>
        <v>0</v>
      </c>
      <c r="K252" s="177">
        <f t="shared" si="31"/>
        <v>1507380</v>
      </c>
      <c r="L252" s="177">
        <f t="shared" si="32"/>
        <v>29600</v>
      </c>
      <c r="M252" s="178">
        <f t="shared" si="33"/>
        <v>2.0030045067601403E-2</v>
      </c>
      <c r="N252" s="179">
        <f t="shared" si="34"/>
        <v>0</v>
      </c>
      <c r="O252" s="180">
        <f t="shared" si="35"/>
        <v>0</v>
      </c>
    </row>
    <row r="253" spans="1:15" x14ac:dyDescent="0.55000000000000004">
      <c r="A253" s="198" t="s">
        <v>246</v>
      </c>
      <c r="B253" s="181">
        <f>INDEX(Data[FY2026 Budget Enrollment],MATCH(A253,Data[Label],0))</f>
        <v>1016.4</v>
      </c>
      <c r="C253" s="182">
        <f>INDEX(Data[FY26 RPDC Per Student],MATCH(A253,Data[Label],0))</f>
        <v>8016</v>
      </c>
      <c r="D253" s="182">
        <f>INDEX(Data[FY2026 RPDC Total],MATCH(A253,Data[Label],0))</f>
        <v>8147462</v>
      </c>
      <c r="E253" s="182">
        <f>INDEX(Data[FY2026 RPDC Budget Guarantee],MATCH(A253,Data[Label],0))</f>
        <v>0</v>
      </c>
      <c r="F253" s="194">
        <f t="shared" si="27"/>
        <v>8147462</v>
      </c>
      <c r="G253" s="181">
        <f>INDEX(Data[FY2027 Budget Enrollment],MATCH(A253,Data[Label],0))</f>
        <v>998.9</v>
      </c>
      <c r="H253" s="182">
        <f t="shared" si="28"/>
        <v>8176</v>
      </c>
      <c r="I253" s="182">
        <f t="shared" si="29"/>
        <v>8167006.3999999994</v>
      </c>
      <c r="J253" s="182">
        <f t="shared" si="30"/>
        <v>61930</v>
      </c>
      <c r="K253" s="182">
        <f t="shared" si="31"/>
        <v>8228936.3999999994</v>
      </c>
      <c r="L253" s="182">
        <f t="shared" si="32"/>
        <v>81474.399999999441</v>
      </c>
      <c r="M253" s="183">
        <f t="shared" si="33"/>
        <v>9.9999729977260938E-3</v>
      </c>
      <c r="N253" s="184">
        <f t="shared" si="34"/>
        <v>-17.5</v>
      </c>
      <c r="O253" s="185">
        <f t="shared" si="35"/>
        <v>-1.7217630853994491E-2</v>
      </c>
    </row>
    <row r="254" spans="1:15" x14ac:dyDescent="0.55000000000000004">
      <c r="A254" s="197" t="s">
        <v>247</v>
      </c>
      <c r="B254" s="176">
        <f>INDEX(Data[FY2026 Budget Enrollment],MATCH(A254,Data[Label],0))</f>
        <v>351</v>
      </c>
      <c r="C254" s="177">
        <f>INDEX(Data[FY26 RPDC Per Student],MATCH(A254,Data[Label],0))</f>
        <v>8015</v>
      </c>
      <c r="D254" s="177">
        <f>INDEX(Data[FY2026 RPDC Total],MATCH(A254,Data[Label],0))</f>
        <v>2813265</v>
      </c>
      <c r="E254" s="177">
        <f>INDEX(Data[FY2026 RPDC Budget Guarantee],MATCH(A254,Data[Label],0))</f>
        <v>83587</v>
      </c>
      <c r="F254" s="193">
        <f t="shared" si="27"/>
        <v>2896852</v>
      </c>
      <c r="G254" s="176">
        <f>INDEX(Data[FY2027 Budget Enrollment],MATCH(A254,Data[Label],0))</f>
        <v>363.1</v>
      </c>
      <c r="H254" s="177">
        <f t="shared" si="28"/>
        <v>8175</v>
      </c>
      <c r="I254" s="177">
        <f t="shared" si="29"/>
        <v>2968342.5</v>
      </c>
      <c r="J254" s="177">
        <f t="shared" si="30"/>
        <v>0</v>
      </c>
      <c r="K254" s="177">
        <f t="shared" si="31"/>
        <v>2968342.5</v>
      </c>
      <c r="L254" s="177">
        <f t="shared" si="32"/>
        <v>71490.5</v>
      </c>
      <c r="M254" s="178">
        <f t="shared" si="33"/>
        <v>2.4678685690535794E-2</v>
      </c>
      <c r="N254" s="179">
        <f t="shared" si="34"/>
        <v>12.100000000000023</v>
      </c>
      <c r="O254" s="180">
        <f t="shared" si="35"/>
        <v>3.4472934472934535E-2</v>
      </c>
    </row>
    <row r="255" spans="1:15" x14ac:dyDescent="0.55000000000000004">
      <c r="A255" s="198" t="s">
        <v>248</v>
      </c>
      <c r="B255" s="181">
        <f>INDEX(Data[FY2026 Budget Enrollment],MATCH(A255,Data[Label],0))</f>
        <v>231.1</v>
      </c>
      <c r="C255" s="182">
        <f>INDEX(Data[FY26 RPDC Per Student],MATCH(A255,Data[Label],0))</f>
        <v>7988</v>
      </c>
      <c r="D255" s="182">
        <f>INDEX(Data[FY2026 RPDC Total],MATCH(A255,Data[Label],0))</f>
        <v>1846027</v>
      </c>
      <c r="E255" s="182">
        <f>INDEX(Data[FY2026 RPDC Budget Guarantee],MATCH(A255,Data[Label],0))</f>
        <v>35187</v>
      </c>
      <c r="F255" s="194">
        <f t="shared" si="27"/>
        <v>1881214</v>
      </c>
      <c r="G255" s="181">
        <f>INDEX(Data[FY2027 Budget Enrollment],MATCH(A255,Data[Label],0))</f>
        <v>230.1</v>
      </c>
      <c r="H255" s="182">
        <f t="shared" si="28"/>
        <v>8148</v>
      </c>
      <c r="I255" s="182">
        <f t="shared" si="29"/>
        <v>1874854.8</v>
      </c>
      <c r="J255" s="182">
        <f t="shared" si="30"/>
        <v>0</v>
      </c>
      <c r="K255" s="182">
        <f t="shared" si="31"/>
        <v>1874854.8</v>
      </c>
      <c r="L255" s="182">
        <f t="shared" si="32"/>
        <v>-6359.1999999999534</v>
      </c>
      <c r="M255" s="183">
        <f t="shared" si="33"/>
        <v>-3.3803703353259933E-3</v>
      </c>
      <c r="N255" s="184">
        <f t="shared" si="34"/>
        <v>-1</v>
      </c>
      <c r="O255" s="185">
        <f t="shared" si="35"/>
        <v>-4.3271311120726963E-3</v>
      </c>
    </row>
    <row r="256" spans="1:15" x14ac:dyDescent="0.55000000000000004">
      <c r="A256" s="197" t="s">
        <v>249</v>
      </c>
      <c r="B256" s="176">
        <f>INDEX(Data[FY2026 Budget Enrollment],MATCH(A256,Data[Label],0))</f>
        <v>1420.1</v>
      </c>
      <c r="C256" s="177">
        <f>INDEX(Data[FY26 RPDC Per Student],MATCH(A256,Data[Label],0))</f>
        <v>7988</v>
      </c>
      <c r="D256" s="177">
        <f>INDEX(Data[FY2026 RPDC Total],MATCH(A256,Data[Label],0))</f>
        <v>11343759</v>
      </c>
      <c r="E256" s="177">
        <f>INDEX(Data[FY2026 RPDC Budget Guarantee],MATCH(A256,Data[Label],0))</f>
        <v>20195</v>
      </c>
      <c r="F256" s="193">
        <f t="shared" si="27"/>
        <v>11363954</v>
      </c>
      <c r="G256" s="176">
        <f>INDEX(Data[FY2027 Budget Enrollment],MATCH(A256,Data[Label],0))</f>
        <v>1371.7</v>
      </c>
      <c r="H256" s="177">
        <f t="shared" si="28"/>
        <v>8148</v>
      </c>
      <c r="I256" s="177">
        <f t="shared" si="29"/>
        <v>11176611.6</v>
      </c>
      <c r="J256" s="177">
        <f t="shared" si="30"/>
        <v>280585</v>
      </c>
      <c r="K256" s="177">
        <f t="shared" si="31"/>
        <v>11457196.6</v>
      </c>
      <c r="L256" s="177">
        <f t="shared" si="32"/>
        <v>93242.599999999627</v>
      </c>
      <c r="M256" s="178">
        <f t="shared" si="33"/>
        <v>8.2051194505010864E-3</v>
      </c>
      <c r="N256" s="179">
        <f t="shared" si="34"/>
        <v>-48.399999999999864</v>
      </c>
      <c r="O256" s="180">
        <f t="shared" si="35"/>
        <v>-3.4082106893880616E-2</v>
      </c>
    </row>
    <row r="257" spans="1:15" x14ac:dyDescent="0.55000000000000004">
      <c r="A257" s="198" t="s">
        <v>250</v>
      </c>
      <c r="B257" s="181">
        <f>INDEX(Data[FY2026 Budget Enrollment],MATCH(A257,Data[Label],0))</f>
        <v>222</v>
      </c>
      <c r="C257" s="182">
        <f>INDEX(Data[FY26 RPDC Per Student],MATCH(A257,Data[Label],0))</f>
        <v>7988</v>
      </c>
      <c r="D257" s="182">
        <f>INDEX(Data[FY2026 RPDC Total],MATCH(A257,Data[Label],0))</f>
        <v>1773336</v>
      </c>
      <c r="E257" s="182">
        <f>INDEX(Data[FY2026 RPDC Budget Guarantee],MATCH(A257,Data[Label],0))</f>
        <v>69937</v>
      </c>
      <c r="F257" s="194">
        <f t="shared" si="27"/>
        <v>1843273</v>
      </c>
      <c r="G257" s="181">
        <f>INDEX(Data[FY2027 Budget Enrollment],MATCH(A257,Data[Label],0))</f>
        <v>219.3</v>
      </c>
      <c r="H257" s="182">
        <f t="shared" si="28"/>
        <v>8148</v>
      </c>
      <c r="I257" s="182">
        <f t="shared" si="29"/>
        <v>1786856.4000000001</v>
      </c>
      <c r="J257" s="182">
        <f t="shared" si="30"/>
        <v>4213</v>
      </c>
      <c r="K257" s="182">
        <f t="shared" si="31"/>
        <v>1791069.4000000001</v>
      </c>
      <c r="L257" s="182">
        <f t="shared" si="32"/>
        <v>-52203.59999999986</v>
      </c>
      <c r="M257" s="183">
        <f t="shared" si="33"/>
        <v>-2.8321143965109812E-2</v>
      </c>
      <c r="N257" s="184">
        <f t="shared" si="34"/>
        <v>-2.6999999999999886</v>
      </c>
      <c r="O257" s="185">
        <f t="shared" si="35"/>
        <v>-1.2162162162162111E-2</v>
      </c>
    </row>
    <row r="258" spans="1:15" x14ac:dyDescent="0.55000000000000004">
      <c r="A258" s="197" t="s">
        <v>251</v>
      </c>
      <c r="B258" s="176">
        <f>INDEX(Data[FY2026 Budget Enrollment],MATCH(A258,Data[Label],0))</f>
        <v>1141.3</v>
      </c>
      <c r="C258" s="177">
        <f>INDEX(Data[FY26 RPDC Per Student],MATCH(A258,Data[Label],0))</f>
        <v>7988</v>
      </c>
      <c r="D258" s="177">
        <f>INDEX(Data[FY2026 RPDC Total],MATCH(A258,Data[Label],0))</f>
        <v>9116704</v>
      </c>
      <c r="E258" s="177">
        <f>INDEX(Data[FY2026 RPDC Budget Guarantee],MATCH(A258,Data[Label],0))</f>
        <v>0</v>
      </c>
      <c r="F258" s="193">
        <f t="shared" si="27"/>
        <v>9116704</v>
      </c>
      <c r="G258" s="176">
        <f>INDEX(Data[FY2027 Budget Enrollment],MATCH(A258,Data[Label],0))</f>
        <v>1114.2</v>
      </c>
      <c r="H258" s="177">
        <f t="shared" si="28"/>
        <v>8148</v>
      </c>
      <c r="I258" s="177">
        <f t="shared" si="29"/>
        <v>9078501.5999999996</v>
      </c>
      <c r="J258" s="177">
        <f t="shared" si="30"/>
        <v>129369</v>
      </c>
      <c r="K258" s="177">
        <f t="shared" si="31"/>
        <v>9207870.5999999996</v>
      </c>
      <c r="L258" s="177">
        <f t="shared" si="32"/>
        <v>91166.599999999627</v>
      </c>
      <c r="M258" s="178">
        <f t="shared" si="33"/>
        <v>9.9999517369434854E-3</v>
      </c>
      <c r="N258" s="179">
        <f t="shared" si="34"/>
        <v>-27.099999999999909</v>
      </c>
      <c r="O258" s="180">
        <f t="shared" si="35"/>
        <v>-2.3744852361342252E-2</v>
      </c>
    </row>
    <row r="259" spans="1:15" x14ac:dyDescent="0.55000000000000004">
      <c r="A259" s="198" t="s">
        <v>252</v>
      </c>
      <c r="B259" s="181">
        <f>INDEX(Data[FY2026 Budget Enrollment],MATCH(A259,Data[Label],0))</f>
        <v>1060.0999999999999</v>
      </c>
      <c r="C259" s="182">
        <f>INDEX(Data[FY26 RPDC Per Student],MATCH(A259,Data[Label],0))</f>
        <v>7988</v>
      </c>
      <c r="D259" s="182">
        <f>INDEX(Data[FY2026 RPDC Total],MATCH(A259,Data[Label],0))</f>
        <v>8468079</v>
      </c>
      <c r="E259" s="182">
        <f>INDEX(Data[FY2026 RPDC Budget Guarantee],MATCH(A259,Data[Label],0))</f>
        <v>0</v>
      </c>
      <c r="F259" s="194">
        <f t="shared" si="27"/>
        <v>8468079</v>
      </c>
      <c r="G259" s="181">
        <f>INDEX(Data[FY2027 Budget Enrollment],MATCH(A259,Data[Label],0))</f>
        <v>1043.7</v>
      </c>
      <c r="H259" s="182">
        <f t="shared" si="28"/>
        <v>8148</v>
      </c>
      <c r="I259" s="182">
        <f t="shared" si="29"/>
        <v>8504067.5999999996</v>
      </c>
      <c r="J259" s="182">
        <f t="shared" si="30"/>
        <v>48692</v>
      </c>
      <c r="K259" s="182">
        <f t="shared" si="31"/>
        <v>8552759.5999999996</v>
      </c>
      <c r="L259" s="182">
        <f t="shared" si="32"/>
        <v>84680.599999999627</v>
      </c>
      <c r="M259" s="183">
        <f t="shared" si="33"/>
        <v>9.9999775627978467E-3</v>
      </c>
      <c r="N259" s="184">
        <f t="shared" si="34"/>
        <v>-16.399999999999864</v>
      </c>
      <c r="O259" s="185">
        <f t="shared" si="35"/>
        <v>-1.547023865673037E-2</v>
      </c>
    </row>
    <row r="260" spans="1:15" x14ac:dyDescent="0.55000000000000004">
      <c r="A260" s="197" t="s">
        <v>253</v>
      </c>
      <c r="B260" s="176">
        <f>INDEX(Data[FY2026 Budget Enrollment],MATCH(A260,Data[Label],0))</f>
        <v>669.3</v>
      </c>
      <c r="C260" s="177">
        <f>INDEX(Data[FY26 RPDC Per Student],MATCH(A260,Data[Label],0))</f>
        <v>7988</v>
      </c>
      <c r="D260" s="177">
        <f>INDEX(Data[FY2026 RPDC Total],MATCH(A260,Data[Label],0))</f>
        <v>5346368</v>
      </c>
      <c r="E260" s="177">
        <f>INDEX(Data[FY2026 RPDC Budget Guarantee],MATCH(A260,Data[Label],0))</f>
        <v>0</v>
      </c>
      <c r="F260" s="193">
        <f t="shared" si="27"/>
        <v>5346368</v>
      </c>
      <c r="G260" s="176">
        <f>INDEX(Data[FY2027 Budget Enrollment],MATCH(A260,Data[Label],0))</f>
        <v>623.6</v>
      </c>
      <c r="H260" s="177">
        <f t="shared" si="28"/>
        <v>8148</v>
      </c>
      <c r="I260" s="177">
        <f t="shared" si="29"/>
        <v>5081092.8</v>
      </c>
      <c r="J260" s="177">
        <f t="shared" si="30"/>
        <v>318739</v>
      </c>
      <c r="K260" s="177">
        <f t="shared" si="31"/>
        <v>5399831.7999999998</v>
      </c>
      <c r="L260" s="177">
        <f t="shared" si="32"/>
        <v>53463.799999999814</v>
      </c>
      <c r="M260" s="178">
        <f t="shared" si="33"/>
        <v>1.0000022445144034E-2</v>
      </c>
      <c r="N260" s="179">
        <f t="shared" si="34"/>
        <v>-45.699999999999932</v>
      </c>
      <c r="O260" s="180">
        <f t="shared" si="35"/>
        <v>-6.8280292843268989E-2</v>
      </c>
    </row>
    <row r="261" spans="1:15" x14ac:dyDescent="0.55000000000000004">
      <c r="A261" s="198" t="s">
        <v>254</v>
      </c>
      <c r="B261" s="181">
        <f>INDEX(Data[FY2026 Budget Enrollment],MATCH(A261,Data[Label],0))</f>
        <v>367.2</v>
      </c>
      <c r="C261" s="182">
        <f>INDEX(Data[FY26 RPDC Per Student],MATCH(A261,Data[Label],0))</f>
        <v>7988</v>
      </c>
      <c r="D261" s="182">
        <f>INDEX(Data[FY2026 RPDC Total],MATCH(A261,Data[Label],0))</f>
        <v>2933194</v>
      </c>
      <c r="E261" s="182">
        <f>INDEX(Data[FY2026 RPDC Budget Guarantee],MATCH(A261,Data[Label],0))</f>
        <v>141563</v>
      </c>
      <c r="F261" s="194">
        <f t="shared" si="27"/>
        <v>3074757</v>
      </c>
      <c r="G261" s="181">
        <f>INDEX(Data[FY2027 Budget Enrollment],MATCH(A261,Data[Label],0))</f>
        <v>337.2</v>
      </c>
      <c r="H261" s="182">
        <f t="shared" si="28"/>
        <v>8148</v>
      </c>
      <c r="I261" s="182">
        <f t="shared" si="29"/>
        <v>2747505.6</v>
      </c>
      <c r="J261" s="182">
        <f t="shared" si="30"/>
        <v>215020</v>
      </c>
      <c r="K261" s="182">
        <f t="shared" si="31"/>
        <v>2962525.6</v>
      </c>
      <c r="L261" s="182">
        <f t="shared" si="32"/>
        <v>-112231.39999999991</v>
      </c>
      <c r="M261" s="183">
        <f t="shared" si="33"/>
        <v>-3.6500900721585447E-2</v>
      </c>
      <c r="N261" s="184">
        <f t="shared" si="34"/>
        <v>-30</v>
      </c>
      <c r="O261" s="185">
        <f t="shared" si="35"/>
        <v>-8.1699346405228759E-2</v>
      </c>
    </row>
    <row r="262" spans="1:15" x14ac:dyDescent="0.55000000000000004">
      <c r="A262" s="197" t="s">
        <v>255</v>
      </c>
      <c r="B262" s="176">
        <f>INDEX(Data[FY2026 Budget Enrollment],MATCH(A262,Data[Label],0))</f>
        <v>559</v>
      </c>
      <c r="C262" s="177">
        <f>INDEX(Data[FY26 RPDC Per Student],MATCH(A262,Data[Label],0))</f>
        <v>7988</v>
      </c>
      <c r="D262" s="177">
        <f>INDEX(Data[FY2026 RPDC Total],MATCH(A262,Data[Label],0))</f>
        <v>4465292</v>
      </c>
      <c r="E262" s="177">
        <f>INDEX(Data[FY2026 RPDC Budget Guarantee],MATCH(A262,Data[Label],0))</f>
        <v>0</v>
      </c>
      <c r="F262" s="193">
        <f t="shared" si="27"/>
        <v>4465292</v>
      </c>
      <c r="G262" s="176">
        <f>INDEX(Data[FY2027 Budget Enrollment],MATCH(A262,Data[Label],0))</f>
        <v>553.9</v>
      </c>
      <c r="H262" s="177">
        <f t="shared" si="28"/>
        <v>8148</v>
      </c>
      <c r="I262" s="177">
        <f t="shared" si="29"/>
        <v>4513177.2</v>
      </c>
      <c r="J262" s="177">
        <f t="shared" si="30"/>
        <v>0</v>
      </c>
      <c r="K262" s="177">
        <f t="shared" si="31"/>
        <v>4513177.2</v>
      </c>
      <c r="L262" s="177">
        <f t="shared" si="32"/>
        <v>47885.200000000186</v>
      </c>
      <c r="M262" s="178">
        <f t="shared" si="33"/>
        <v>1.0723867554462325E-2</v>
      </c>
      <c r="N262" s="179">
        <f t="shared" si="34"/>
        <v>-5.1000000000000227</v>
      </c>
      <c r="O262" s="180">
        <f t="shared" si="35"/>
        <v>-9.123434704830095E-3</v>
      </c>
    </row>
    <row r="263" spans="1:15" x14ac:dyDescent="0.55000000000000004">
      <c r="A263" s="198" t="s">
        <v>256</v>
      </c>
      <c r="B263" s="181">
        <f>INDEX(Data[FY2026 Budget Enrollment],MATCH(A263,Data[Label],0))</f>
        <v>1538</v>
      </c>
      <c r="C263" s="182">
        <f>INDEX(Data[FY26 RPDC Per Student],MATCH(A263,Data[Label],0))</f>
        <v>7988</v>
      </c>
      <c r="D263" s="182">
        <f>INDEX(Data[FY2026 RPDC Total],MATCH(A263,Data[Label],0))</f>
        <v>12285544</v>
      </c>
      <c r="E263" s="182">
        <f>INDEX(Data[FY2026 RPDC Budget Guarantee],MATCH(A263,Data[Label],0))</f>
        <v>0</v>
      </c>
      <c r="F263" s="194">
        <f t="shared" si="27"/>
        <v>12285544</v>
      </c>
      <c r="G263" s="181">
        <f>INDEX(Data[FY2027 Budget Enrollment],MATCH(A263,Data[Label],0))</f>
        <v>1476.1</v>
      </c>
      <c r="H263" s="182">
        <f t="shared" si="28"/>
        <v>8148</v>
      </c>
      <c r="I263" s="182">
        <f t="shared" si="29"/>
        <v>12027262.799999999</v>
      </c>
      <c r="J263" s="182">
        <f t="shared" si="30"/>
        <v>381137</v>
      </c>
      <c r="K263" s="182">
        <f t="shared" si="31"/>
        <v>12408399.799999999</v>
      </c>
      <c r="L263" s="182">
        <f t="shared" si="32"/>
        <v>122855.79999999888</v>
      </c>
      <c r="M263" s="183">
        <f t="shared" si="33"/>
        <v>1.0000029302731641E-2</v>
      </c>
      <c r="N263" s="184">
        <f t="shared" si="34"/>
        <v>-61.900000000000091</v>
      </c>
      <c r="O263" s="185">
        <f t="shared" si="35"/>
        <v>-4.0247074122236728E-2</v>
      </c>
    </row>
    <row r="264" spans="1:15" x14ac:dyDescent="0.55000000000000004">
      <c r="A264" s="197" t="s">
        <v>257</v>
      </c>
      <c r="B264" s="176">
        <f>INDEX(Data[FY2026 Budget Enrollment],MATCH(A264,Data[Label],0))</f>
        <v>422.5</v>
      </c>
      <c r="C264" s="177">
        <f>INDEX(Data[FY26 RPDC Per Student],MATCH(A264,Data[Label],0))</f>
        <v>7988</v>
      </c>
      <c r="D264" s="177">
        <f>INDEX(Data[FY2026 RPDC Total],MATCH(A264,Data[Label],0))</f>
        <v>3374930</v>
      </c>
      <c r="E264" s="177">
        <f>INDEX(Data[FY2026 RPDC Budget Guarantee],MATCH(A264,Data[Label],0))</f>
        <v>71327</v>
      </c>
      <c r="F264" s="193">
        <f t="shared" si="27"/>
        <v>3446257</v>
      </c>
      <c r="G264" s="176">
        <f>INDEX(Data[FY2027 Budget Enrollment],MATCH(A264,Data[Label],0))</f>
        <v>446.3</v>
      </c>
      <c r="H264" s="177">
        <f t="shared" si="28"/>
        <v>8148</v>
      </c>
      <c r="I264" s="177">
        <f t="shared" si="29"/>
        <v>3636452.4</v>
      </c>
      <c r="J264" s="177">
        <f t="shared" si="30"/>
        <v>0</v>
      </c>
      <c r="K264" s="177">
        <f t="shared" si="31"/>
        <v>3636452.4</v>
      </c>
      <c r="L264" s="177">
        <f t="shared" si="32"/>
        <v>190195.39999999991</v>
      </c>
      <c r="M264" s="178">
        <f t="shared" si="33"/>
        <v>5.5188977490651422E-2</v>
      </c>
      <c r="N264" s="179">
        <f t="shared" si="34"/>
        <v>23.800000000000011</v>
      </c>
      <c r="O264" s="180">
        <f t="shared" si="35"/>
        <v>5.6331360946745589E-2</v>
      </c>
    </row>
    <row r="265" spans="1:15" x14ac:dyDescent="0.55000000000000004">
      <c r="A265" s="198" t="s">
        <v>258</v>
      </c>
      <c r="B265" s="181">
        <f>INDEX(Data[FY2026 Budget Enrollment],MATCH(A265,Data[Label],0))</f>
        <v>14482.1</v>
      </c>
      <c r="C265" s="182">
        <f>INDEX(Data[FY26 RPDC Per Student],MATCH(A265,Data[Label],0))</f>
        <v>7988</v>
      </c>
      <c r="D265" s="182">
        <f>INDEX(Data[FY2026 RPDC Total],MATCH(A265,Data[Label],0))</f>
        <v>115683015</v>
      </c>
      <c r="E265" s="182">
        <f>INDEX(Data[FY2026 RPDC Budget Guarantee],MATCH(A265,Data[Label],0))</f>
        <v>0</v>
      </c>
      <c r="F265" s="194">
        <f t="shared" si="27"/>
        <v>115683015</v>
      </c>
      <c r="G265" s="181">
        <f>INDEX(Data[FY2027 Budget Enrollment],MATCH(A265,Data[Label],0))</f>
        <v>14181.4</v>
      </c>
      <c r="H265" s="182">
        <f t="shared" si="28"/>
        <v>8148</v>
      </c>
      <c r="I265" s="182">
        <f t="shared" si="29"/>
        <v>115550047.2</v>
      </c>
      <c r="J265" s="182">
        <f t="shared" si="30"/>
        <v>1289798</v>
      </c>
      <c r="K265" s="182">
        <f t="shared" si="31"/>
        <v>116839845.2</v>
      </c>
      <c r="L265" s="182">
        <f t="shared" si="32"/>
        <v>1156830.200000003</v>
      </c>
      <c r="M265" s="183">
        <f t="shared" si="33"/>
        <v>1.0000000432215593E-2</v>
      </c>
      <c r="N265" s="184">
        <f t="shared" si="34"/>
        <v>-300.70000000000073</v>
      </c>
      <c r="O265" s="185">
        <f t="shared" si="35"/>
        <v>-2.0763563295378481E-2</v>
      </c>
    </row>
    <row r="266" spans="1:15" x14ac:dyDescent="0.55000000000000004">
      <c r="A266" s="197" t="s">
        <v>259</v>
      </c>
      <c r="B266" s="176">
        <f>INDEX(Data[FY2026 Budget Enrollment],MATCH(A266,Data[Label],0))</f>
        <v>1427.7</v>
      </c>
      <c r="C266" s="177">
        <f>INDEX(Data[FY26 RPDC Per Student],MATCH(A266,Data[Label],0))</f>
        <v>7988</v>
      </c>
      <c r="D266" s="177">
        <f>INDEX(Data[FY2026 RPDC Total],MATCH(A266,Data[Label],0))</f>
        <v>11404468</v>
      </c>
      <c r="E266" s="177">
        <f>INDEX(Data[FY2026 RPDC Budget Guarantee],MATCH(A266,Data[Label],0))</f>
        <v>0</v>
      </c>
      <c r="F266" s="193">
        <f t="shared" si="27"/>
        <v>11404468</v>
      </c>
      <c r="G266" s="176">
        <f>INDEX(Data[FY2027 Budget Enrollment],MATCH(A266,Data[Label],0))</f>
        <v>1464.7</v>
      </c>
      <c r="H266" s="177">
        <f t="shared" si="28"/>
        <v>8148</v>
      </c>
      <c r="I266" s="177">
        <f t="shared" si="29"/>
        <v>11934375.6</v>
      </c>
      <c r="J266" s="177">
        <f t="shared" si="30"/>
        <v>0</v>
      </c>
      <c r="K266" s="177">
        <f t="shared" si="31"/>
        <v>11934375.6</v>
      </c>
      <c r="L266" s="177">
        <f t="shared" si="32"/>
        <v>529907.59999999963</v>
      </c>
      <c r="M266" s="178">
        <f t="shared" si="33"/>
        <v>4.6464911822278743E-2</v>
      </c>
      <c r="N266" s="179">
        <f t="shared" si="34"/>
        <v>37</v>
      </c>
      <c r="O266" s="180">
        <f t="shared" si="35"/>
        <v>2.5915808643272396E-2</v>
      </c>
    </row>
    <row r="267" spans="1:15" x14ac:dyDescent="0.55000000000000004">
      <c r="A267" s="198" t="s">
        <v>260</v>
      </c>
      <c r="B267" s="181">
        <f>INDEX(Data[FY2026 Budget Enrollment],MATCH(A267,Data[Label],0))</f>
        <v>888.3</v>
      </c>
      <c r="C267" s="182">
        <f>INDEX(Data[FY26 RPDC Per Student],MATCH(A267,Data[Label],0))</f>
        <v>7988</v>
      </c>
      <c r="D267" s="182">
        <f>INDEX(Data[FY2026 RPDC Total],MATCH(A267,Data[Label],0))</f>
        <v>7095740</v>
      </c>
      <c r="E267" s="182">
        <f>INDEX(Data[FY2026 RPDC Budget Guarantee],MATCH(A267,Data[Label],0))</f>
        <v>224396</v>
      </c>
      <c r="F267" s="194">
        <f t="shared" ref="F267:F330" si="36">D267+E267</f>
        <v>7320136</v>
      </c>
      <c r="G267" s="181">
        <f>INDEX(Data[FY2027 Budget Enrollment],MATCH(A267,Data[Label],0))</f>
        <v>927.4</v>
      </c>
      <c r="H267" s="182">
        <f t="shared" ref="H267:H330" si="37">MAX(7988+ROUND(7988*$B$6,0)+$E$6,C267+ROUND(7988*$B$6,0))</f>
        <v>8148</v>
      </c>
      <c r="I267" s="182">
        <f t="shared" ref="I267:I330" si="38">G267*H267</f>
        <v>7556455.2000000002</v>
      </c>
      <c r="J267" s="182">
        <f t="shared" ref="J267:J330" si="39">ROUND(MAX((D267*1.01)-I267,0),0)</f>
        <v>0</v>
      </c>
      <c r="K267" s="182">
        <f t="shared" ref="K267:K330" si="40">I267+J267</f>
        <v>7556455.2000000002</v>
      </c>
      <c r="L267" s="182">
        <f t="shared" ref="L267:L330" si="41">K267-F267</f>
        <v>236319.20000000019</v>
      </c>
      <c r="M267" s="183">
        <f t="shared" ref="M267:M330" si="42">L267/F267</f>
        <v>3.2283443914156815E-2</v>
      </c>
      <c r="N267" s="184">
        <f t="shared" ref="N267:N330" si="43">G267-B267</f>
        <v>39.100000000000023</v>
      </c>
      <c r="O267" s="185">
        <f t="shared" ref="O267:O330" si="44">N267/B267</f>
        <v>4.4016661037937659E-2</v>
      </c>
    </row>
    <row r="268" spans="1:15" x14ac:dyDescent="0.55000000000000004">
      <c r="A268" s="197" t="s">
        <v>261</v>
      </c>
      <c r="B268" s="176">
        <f>INDEX(Data[FY2026 Budget Enrollment],MATCH(A268,Data[Label],0))</f>
        <v>609.6</v>
      </c>
      <c r="C268" s="177">
        <f>INDEX(Data[FY26 RPDC Per Student],MATCH(A268,Data[Label],0))</f>
        <v>8010</v>
      </c>
      <c r="D268" s="177">
        <f>INDEX(Data[FY2026 RPDC Total],MATCH(A268,Data[Label],0))</f>
        <v>4882896</v>
      </c>
      <c r="E268" s="177">
        <f>INDEX(Data[FY2026 RPDC Budget Guarantee],MATCH(A268,Data[Label],0))</f>
        <v>0</v>
      </c>
      <c r="F268" s="193">
        <f t="shared" si="36"/>
        <v>4882896</v>
      </c>
      <c r="G268" s="176">
        <f>INDEX(Data[FY2027 Budget Enrollment],MATCH(A268,Data[Label],0))</f>
        <v>625.20000000000005</v>
      </c>
      <c r="H268" s="177">
        <f t="shared" si="37"/>
        <v>8170</v>
      </c>
      <c r="I268" s="177">
        <f t="shared" si="38"/>
        <v>5107884</v>
      </c>
      <c r="J268" s="177">
        <f t="shared" si="39"/>
        <v>0</v>
      </c>
      <c r="K268" s="177">
        <f t="shared" si="40"/>
        <v>5107884</v>
      </c>
      <c r="L268" s="177">
        <f t="shared" si="41"/>
        <v>224988</v>
      </c>
      <c r="M268" s="178">
        <f t="shared" si="42"/>
        <v>4.607675445063749E-2</v>
      </c>
      <c r="N268" s="179">
        <f t="shared" si="43"/>
        <v>15.600000000000023</v>
      </c>
      <c r="O268" s="180">
        <f t="shared" si="44"/>
        <v>2.55905511811024E-2</v>
      </c>
    </row>
    <row r="269" spans="1:15" x14ac:dyDescent="0.55000000000000004">
      <c r="A269" s="198" t="s">
        <v>262</v>
      </c>
      <c r="B269" s="181">
        <f>INDEX(Data[FY2026 Budget Enrollment],MATCH(A269,Data[Label],0))</f>
        <v>575.79999999999995</v>
      </c>
      <c r="C269" s="182">
        <f>INDEX(Data[FY26 RPDC Per Student],MATCH(A269,Data[Label],0))</f>
        <v>8001</v>
      </c>
      <c r="D269" s="182">
        <f>INDEX(Data[FY2026 RPDC Total],MATCH(A269,Data[Label],0))</f>
        <v>4606976</v>
      </c>
      <c r="E269" s="182">
        <f>INDEX(Data[FY2026 RPDC Budget Guarantee],MATCH(A269,Data[Label],0))</f>
        <v>0</v>
      </c>
      <c r="F269" s="194">
        <f t="shared" si="36"/>
        <v>4606976</v>
      </c>
      <c r="G269" s="181">
        <f>INDEX(Data[FY2027 Budget Enrollment],MATCH(A269,Data[Label],0))</f>
        <v>578.1</v>
      </c>
      <c r="H269" s="182">
        <f t="shared" si="37"/>
        <v>8161</v>
      </c>
      <c r="I269" s="182">
        <f t="shared" si="38"/>
        <v>4717874.1000000006</v>
      </c>
      <c r="J269" s="182">
        <f t="shared" si="39"/>
        <v>0</v>
      </c>
      <c r="K269" s="182">
        <f t="shared" si="40"/>
        <v>4717874.1000000006</v>
      </c>
      <c r="L269" s="182">
        <f t="shared" si="41"/>
        <v>110898.10000000056</v>
      </c>
      <c r="M269" s="183">
        <f t="shared" si="42"/>
        <v>2.4071777235219059E-2</v>
      </c>
      <c r="N269" s="184">
        <f t="shared" si="43"/>
        <v>2.3000000000000682</v>
      </c>
      <c r="O269" s="185">
        <f t="shared" si="44"/>
        <v>3.9944425147621886E-3</v>
      </c>
    </row>
    <row r="270" spans="1:15" x14ac:dyDescent="0.55000000000000004">
      <c r="A270" s="197" t="s">
        <v>263</v>
      </c>
      <c r="B270" s="176">
        <f>INDEX(Data[FY2026 Budget Enrollment],MATCH(A270,Data[Label],0))</f>
        <v>188.3</v>
      </c>
      <c r="C270" s="177">
        <f>INDEX(Data[FY26 RPDC Per Student],MATCH(A270,Data[Label],0))</f>
        <v>7988</v>
      </c>
      <c r="D270" s="177">
        <f>INDEX(Data[FY2026 RPDC Total],MATCH(A270,Data[Label],0))</f>
        <v>1504140</v>
      </c>
      <c r="E270" s="177">
        <f>INDEX(Data[FY2026 RPDC Budget Guarantee],MATCH(A270,Data[Label],0))</f>
        <v>55371</v>
      </c>
      <c r="F270" s="193">
        <f t="shared" si="36"/>
        <v>1559511</v>
      </c>
      <c r="G270" s="176">
        <f>INDEX(Data[FY2027 Budget Enrollment],MATCH(A270,Data[Label],0))</f>
        <v>165.6</v>
      </c>
      <c r="H270" s="177">
        <f t="shared" si="37"/>
        <v>8148</v>
      </c>
      <c r="I270" s="177">
        <f t="shared" si="38"/>
        <v>1349308.8</v>
      </c>
      <c r="J270" s="177">
        <f t="shared" si="39"/>
        <v>169873</v>
      </c>
      <c r="K270" s="177">
        <f t="shared" si="40"/>
        <v>1519181.8</v>
      </c>
      <c r="L270" s="177">
        <f t="shared" si="41"/>
        <v>-40329.199999999953</v>
      </c>
      <c r="M270" s="178">
        <f t="shared" si="42"/>
        <v>-2.5860157446789381E-2</v>
      </c>
      <c r="N270" s="179">
        <f t="shared" si="43"/>
        <v>-22.700000000000017</v>
      </c>
      <c r="O270" s="180">
        <f t="shared" si="44"/>
        <v>-0.1205523101433883</v>
      </c>
    </row>
    <row r="271" spans="1:15" x14ac:dyDescent="0.55000000000000004">
      <c r="A271" s="198" t="s">
        <v>264</v>
      </c>
      <c r="B271" s="181">
        <f>INDEX(Data[FY2026 Budget Enrollment],MATCH(A271,Data[Label],0))</f>
        <v>1365.4</v>
      </c>
      <c r="C271" s="182">
        <f>INDEX(Data[FY26 RPDC Per Student],MATCH(A271,Data[Label],0))</f>
        <v>7988</v>
      </c>
      <c r="D271" s="182">
        <f>INDEX(Data[FY2026 RPDC Total],MATCH(A271,Data[Label],0))</f>
        <v>10906815</v>
      </c>
      <c r="E271" s="182">
        <f>INDEX(Data[FY2026 RPDC Budget Guarantee],MATCH(A271,Data[Label],0))</f>
        <v>163101</v>
      </c>
      <c r="F271" s="194">
        <f t="shared" si="36"/>
        <v>11069916</v>
      </c>
      <c r="G271" s="181">
        <f>INDEX(Data[FY2027 Budget Enrollment],MATCH(A271,Data[Label],0))</f>
        <v>1328.5</v>
      </c>
      <c r="H271" s="182">
        <f t="shared" si="37"/>
        <v>8148</v>
      </c>
      <c r="I271" s="182">
        <f t="shared" si="38"/>
        <v>10824618</v>
      </c>
      <c r="J271" s="182">
        <f t="shared" si="39"/>
        <v>191265</v>
      </c>
      <c r="K271" s="182">
        <f t="shared" si="40"/>
        <v>11015883</v>
      </c>
      <c r="L271" s="182">
        <f t="shared" si="41"/>
        <v>-54033</v>
      </c>
      <c r="M271" s="183">
        <f t="shared" si="42"/>
        <v>-4.8810668482037259E-3</v>
      </c>
      <c r="N271" s="184">
        <f t="shared" si="43"/>
        <v>-36.900000000000091</v>
      </c>
      <c r="O271" s="185">
        <f t="shared" si="44"/>
        <v>-2.7025047605097472E-2</v>
      </c>
    </row>
    <row r="272" spans="1:15" x14ac:dyDescent="0.55000000000000004">
      <c r="A272" s="197" t="s">
        <v>265</v>
      </c>
      <c r="B272" s="176">
        <f>INDEX(Data[FY2026 Budget Enrollment],MATCH(A272,Data[Label],0))</f>
        <v>538.79999999999995</v>
      </c>
      <c r="C272" s="177">
        <f>INDEX(Data[FY26 RPDC Per Student],MATCH(A272,Data[Label],0))</f>
        <v>7988</v>
      </c>
      <c r="D272" s="177">
        <f>INDEX(Data[FY2026 RPDC Total],MATCH(A272,Data[Label],0))</f>
        <v>4303934</v>
      </c>
      <c r="E272" s="177">
        <f>INDEX(Data[FY2026 RPDC Budget Guarantee],MATCH(A272,Data[Label],0))</f>
        <v>0</v>
      </c>
      <c r="F272" s="193">
        <f t="shared" si="36"/>
        <v>4303934</v>
      </c>
      <c r="G272" s="176">
        <f>INDEX(Data[FY2027 Budget Enrollment],MATCH(A272,Data[Label],0))</f>
        <v>518.20000000000005</v>
      </c>
      <c r="H272" s="177">
        <f t="shared" si="37"/>
        <v>8148</v>
      </c>
      <c r="I272" s="177">
        <f t="shared" si="38"/>
        <v>4222293.6000000006</v>
      </c>
      <c r="J272" s="177">
        <f t="shared" si="39"/>
        <v>124680</v>
      </c>
      <c r="K272" s="177">
        <f t="shared" si="40"/>
        <v>4346973.6000000006</v>
      </c>
      <c r="L272" s="177">
        <f t="shared" si="41"/>
        <v>43039.600000000559</v>
      </c>
      <c r="M272" s="178">
        <f t="shared" si="42"/>
        <v>1.0000060409848422E-2</v>
      </c>
      <c r="N272" s="179">
        <f t="shared" si="43"/>
        <v>-20.599999999999909</v>
      </c>
      <c r="O272" s="180">
        <f t="shared" si="44"/>
        <v>-3.8233110616183945E-2</v>
      </c>
    </row>
    <row r="273" spans="1:15" x14ac:dyDescent="0.55000000000000004">
      <c r="A273" s="198" t="s">
        <v>266</v>
      </c>
      <c r="B273" s="181">
        <f>INDEX(Data[FY2026 Budget Enrollment],MATCH(A273,Data[Label],0))</f>
        <v>7288.6</v>
      </c>
      <c r="C273" s="182">
        <f>INDEX(Data[FY26 RPDC Per Student],MATCH(A273,Data[Label],0))</f>
        <v>7988</v>
      </c>
      <c r="D273" s="182">
        <f>INDEX(Data[FY2026 RPDC Total],MATCH(A273,Data[Label],0))</f>
        <v>58221337</v>
      </c>
      <c r="E273" s="182">
        <f>INDEX(Data[FY2026 RPDC Budget Guarantee],MATCH(A273,Data[Label],0))</f>
        <v>0</v>
      </c>
      <c r="F273" s="194">
        <f t="shared" si="36"/>
        <v>58221337</v>
      </c>
      <c r="G273" s="181">
        <f>INDEX(Data[FY2027 Budget Enrollment],MATCH(A273,Data[Label],0))</f>
        <v>7299.6</v>
      </c>
      <c r="H273" s="182">
        <f t="shared" si="37"/>
        <v>8148</v>
      </c>
      <c r="I273" s="182">
        <f t="shared" si="38"/>
        <v>59477140.800000004</v>
      </c>
      <c r="J273" s="182">
        <f t="shared" si="39"/>
        <v>0</v>
      </c>
      <c r="K273" s="182">
        <f t="shared" si="40"/>
        <v>59477140.800000004</v>
      </c>
      <c r="L273" s="182">
        <f t="shared" si="41"/>
        <v>1255803.8000000045</v>
      </c>
      <c r="M273" s="183">
        <f t="shared" si="42"/>
        <v>2.1569477183253357E-2</v>
      </c>
      <c r="N273" s="184">
        <f t="shared" si="43"/>
        <v>11</v>
      </c>
      <c r="O273" s="185">
        <f t="shared" si="44"/>
        <v>1.5092061575611227E-3</v>
      </c>
    </row>
    <row r="274" spans="1:15" x14ac:dyDescent="0.55000000000000004">
      <c r="A274" s="197" t="s">
        <v>267</v>
      </c>
      <c r="B274" s="176">
        <f>INDEX(Data[FY2026 Budget Enrollment],MATCH(A274,Data[Label],0))</f>
        <v>1105.0999999999999</v>
      </c>
      <c r="C274" s="177">
        <f>INDEX(Data[FY26 RPDC Per Student],MATCH(A274,Data[Label],0))</f>
        <v>8072</v>
      </c>
      <c r="D274" s="177">
        <f>INDEX(Data[FY2026 RPDC Total],MATCH(A274,Data[Label],0))</f>
        <v>8920367</v>
      </c>
      <c r="E274" s="177">
        <f>INDEX(Data[FY2026 RPDC Budget Guarantee],MATCH(A274,Data[Label],0))</f>
        <v>0</v>
      </c>
      <c r="F274" s="193">
        <f t="shared" si="36"/>
        <v>8920367</v>
      </c>
      <c r="G274" s="176">
        <f>INDEX(Data[FY2027 Budget Enrollment],MATCH(A274,Data[Label],0))</f>
        <v>1045</v>
      </c>
      <c r="H274" s="177">
        <f t="shared" si="37"/>
        <v>8232</v>
      </c>
      <c r="I274" s="177">
        <f t="shared" si="38"/>
        <v>8602440</v>
      </c>
      <c r="J274" s="177">
        <f t="shared" si="39"/>
        <v>407131</v>
      </c>
      <c r="K274" s="177">
        <f t="shared" si="40"/>
        <v>9009571</v>
      </c>
      <c r="L274" s="177">
        <f t="shared" si="41"/>
        <v>89204</v>
      </c>
      <c r="M274" s="178">
        <f t="shared" si="42"/>
        <v>1.0000036993993633E-2</v>
      </c>
      <c r="N274" s="179">
        <f t="shared" si="43"/>
        <v>-60.099999999999909</v>
      </c>
      <c r="O274" s="180">
        <f t="shared" si="44"/>
        <v>-5.4384218622748996E-2</v>
      </c>
    </row>
    <row r="275" spans="1:15" x14ac:dyDescent="0.55000000000000004">
      <c r="A275" s="198" t="s">
        <v>268</v>
      </c>
      <c r="B275" s="181">
        <f>INDEX(Data[FY2026 Budget Enrollment],MATCH(A275,Data[Label],0))</f>
        <v>488.9</v>
      </c>
      <c r="C275" s="182">
        <f>INDEX(Data[FY26 RPDC Per Student],MATCH(A275,Data[Label],0))</f>
        <v>7988</v>
      </c>
      <c r="D275" s="182">
        <f>INDEX(Data[FY2026 RPDC Total],MATCH(A275,Data[Label],0))</f>
        <v>3905333</v>
      </c>
      <c r="E275" s="182">
        <f>INDEX(Data[FY2026 RPDC Budget Guarantee],MATCH(A275,Data[Label],0))</f>
        <v>0</v>
      </c>
      <c r="F275" s="194">
        <f t="shared" si="36"/>
        <v>3905333</v>
      </c>
      <c r="G275" s="181">
        <f>INDEX(Data[FY2027 Budget Enrollment],MATCH(A275,Data[Label],0))</f>
        <v>470</v>
      </c>
      <c r="H275" s="182">
        <f t="shared" si="37"/>
        <v>8148</v>
      </c>
      <c r="I275" s="182">
        <f t="shared" si="38"/>
        <v>3829560</v>
      </c>
      <c r="J275" s="182">
        <f t="shared" si="39"/>
        <v>114826</v>
      </c>
      <c r="K275" s="182">
        <f t="shared" si="40"/>
        <v>3944386</v>
      </c>
      <c r="L275" s="182">
        <f t="shared" si="41"/>
        <v>39053</v>
      </c>
      <c r="M275" s="183">
        <f t="shared" si="42"/>
        <v>9.9999155001634938E-3</v>
      </c>
      <c r="N275" s="184">
        <f t="shared" si="43"/>
        <v>-18.899999999999977</v>
      </c>
      <c r="O275" s="185">
        <f t="shared" si="44"/>
        <v>-3.865821231335647E-2</v>
      </c>
    </row>
    <row r="276" spans="1:15" x14ac:dyDescent="0.55000000000000004">
      <c r="A276" s="197" t="s">
        <v>269</v>
      </c>
      <c r="B276" s="176">
        <f>INDEX(Data[FY2026 Budget Enrollment],MATCH(A276,Data[Label],0))</f>
        <v>1947.2</v>
      </c>
      <c r="C276" s="177">
        <f>INDEX(Data[FY26 RPDC Per Student],MATCH(A276,Data[Label],0))</f>
        <v>7988</v>
      </c>
      <c r="D276" s="177">
        <f>INDEX(Data[FY2026 RPDC Total],MATCH(A276,Data[Label],0))</f>
        <v>15554234</v>
      </c>
      <c r="E276" s="177">
        <f>INDEX(Data[FY2026 RPDC Budget Guarantee],MATCH(A276,Data[Label],0))</f>
        <v>348346</v>
      </c>
      <c r="F276" s="193">
        <f t="shared" si="36"/>
        <v>15902580</v>
      </c>
      <c r="G276" s="176">
        <f>INDEX(Data[FY2027 Budget Enrollment],MATCH(A276,Data[Label],0))</f>
        <v>1863.9</v>
      </c>
      <c r="H276" s="177">
        <f t="shared" si="37"/>
        <v>8148</v>
      </c>
      <c r="I276" s="177">
        <f t="shared" si="38"/>
        <v>15187057.200000001</v>
      </c>
      <c r="J276" s="177">
        <f t="shared" si="39"/>
        <v>522719</v>
      </c>
      <c r="K276" s="177">
        <f t="shared" si="40"/>
        <v>15709776.200000001</v>
      </c>
      <c r="L276" s="177">
        <f t="shared" si="41"/>
        <v>-192803.79999999888</v>
      </c>
      <c r="M276" s="178">
        <f t="shared" si="42"/>
        <v>-1.2124057857278435E-2</v>
      </c>
      <c r="N276" s="179">
        <f t="shared" si="43"/>
        <v>-83.299999999999955</v>
      </c>
      <c r="O276" s="180">
        <f t="shared" si="44"/>
        <v>-4.2779375513557906E-2</v>
      </c>
    </row>
    <row r="277" spans="1:15" x14ac:dyDescent="0.55000000000000004">
      <c r="A277" s="198" t="s">
        <v>270</v>
      </c>
      <c r="B277" s="181">
        <f>INDEX(Data[FY2026 Budget Enrollment],MATCH(A277,Data[Label],0))</f>
        <v>1149.9000000000001</v>
      </c>
      <c r="C277" s="182">
        <f>INDEX(Data[FY26 RPDC Per Student],MATCH(A277,Data[Label],0))</f>
        <v>7988</v>
      </c>
      <c r="D277" s="182">
        <f>INDEX(Data[FY2026 RPDC Total],MATCH(A277,Data[Label],0))</f>
        <v>9185401</v>
      </c>
      <c r="E277" s="182">
        <f>INDEX(Data[FY2026 RPDC Budget Guarantee],MATCH(A277,Data[Label],0))</f>
        <v>68116</v>
      </c>
      <c r="F277" s="194">
        <f t="shared" si="36"/>
        <v>9253517</v>
      </c>
      <c r="G277" s="181">
        <f>INDEX(Data[FY2027 Budget Enrollment],MATCH(A277,Data[Label],0))</f>
        <v>1125.7</v>
      </c>
      <c r="H277" s="182">
        <f t="shared" si="37"/>
        <v>8148</v>
      </c>
      <c r="I277" s="182">
        <f t="shared" si="38"/>
        <v>9172203.5999999996</v>
      </c>
      <c r="J277" s="182">
        <f t="shared" si="39"/>
        <v>105051</v>
      </c>
      <c r="K277" s="182">
        <f t="shared" si="40"/>
        <v>9277254.5999999996</v>
      </c>
      <c r="L277" s="182">
        <f t="shared" si="41"/>
        <v>23737.599999999627</v>
      </c>
      <c r="M277" s="183">
        <f t="shared" si="42"/>
        <v>2.5652516767408142E-3</v>
      </c>
      <c r="N277" s="184">
        <f t="shared" si="43"/>
        <v>-24.200000000000045</v>
      </c>
      <c r="O277" s="185">
        <f t="shared" si="44"/>
        <v>-2.1045308287677228E-2</v>
      </c>
    </row>
    <row r="278" spans="1:15" x14ac:dyDescent="0.55000000000000004">
      <c r="A278" s="197" t="s">
        <v>271</v>
      </c>
      <c r="B278" s="176">
        <f>INDEX(Data[FY2026 Budget Enrollment],MATCH(A278,Data[Label],0))</f>
        <v>404</v>
      </c>
      <c r="C278" s="177">
        <f>INDEX(Data[FY26 RPDC Per Student],MATCH(A278,Data[Label],0))</f>
        <v>7990</v>
      </c>
      <c r="D278" s="177">
        <f>INDEX(Data[FY2026 RPDC Total],MATCH(A278,Data[Label],0))</f>
        <v>3227960</v>
      </c>
      <c r="E278" s="177">
        <f>INDEX(Data[FY2026 RPDC Budget Guarantee],MATCH(A278,Data[Label],0))</f>
        <v>24387</v>
      </c>
      <c r="F278" s="193">
        <f t="shared" si="36"/>
        <v>3252347</v>
      </c>
      <c r="G278" s="176">
        <f>INDEX(Data[FY2027 Budget Enrollment],MATCH(A278,Data[Label],0))</f>
        <v>403.5</v>
      </c>
      <c r="H278" s="177">
        <f t="shared" si="37"/>
        <v>8150</v>
      </c>
      <c r="I278" s="177">
        <f t="shared" si="38"/>
        <v>3288525</v>
      </c>
      <c r="J278" s="177">
        <f t="shared" si="39"/>
        <v>0</v>
      </c>
      <c r="K278" s="177">
        <f t="shared" si="40"/>
        <v>3288525</v>
      </c>
      <c r="L278" s="177">
        <f t="shared" si="41"/>
        <v>36178</v>
      </c>
      <c r="M278" s="178">
        <f t="shared" si="42"/>
        <v>1.1123659314335156E-2</v>
      </c>
      <c r="N278" s="179">
        <f t="shared" si="43"/>
        <v>-0.5</v>
      </c>
      <c r="O278" s="180">
        <f t="shared" si="44"/>
        <v>-1.2376237623762376E-3</v>
      </c>
    </row>
    <row r="279" spans="1:15" x14ac:dyDescent="0.55000000000000004">
      <c r="A279" s="198" t="s">
        <v>272</v>
      </c>
      <c r="B279" s="181">
        <f>INDEX(Data[FY2026 Budget Enrollment],MATCH(A279,Data[Label],0))</f>
        <v>612.29999999999995</v>
      </c>
      <c r="C279" s="182">
        <f>INDEX(Data[FY26 RPDC Per Student],MATCH(A279,Data[Label],0))</f>
        <v>7988</v>
      </c>
      <c r="D279" s="182">
        <f>INDEX(Data[FY2026 RPDC Total],MATCH(A279,Data[Label],0))</f>
        <v>4891052</v>
      </c>
      <c r="E279" s="182">
        <f>INDEX(Data[FY2026 RPDC Budget Guarantee],MATCH(A279,Data[Label],0))</f>
        <v>0</v>
      </c>
      <c r="F279" s="194">
        <f t="shared" si="36"/>
        <v>4891052</v>
      </c>
      <c r="G279" s="181">
        <f>INDEX(Data[FY2027 Budget Enrollment],MATCH(A279,Data[Label],0))</f>
        <v>615.70000000000005</v>
      </c>
      <c r="H279" s="182">
        <f t="shared" si="37"/>
        <v>8148</v>
      </c>
      <c r="I279" s="182">
        <f t="shared" si="38"/>
        <v>5016723.6000000006</v>
      </c>
      <c r="J279" s="182">
        <f t="shared" si="39"/>
        <v>0</v>
      </c>
      <c r="K279" s="182">
        <f t="shared" si="40"/>
        <v>5016723.6000000006</v>
      </c>
      <c r="L279" s="182">
        <f t="shared" si="41"/>
        <v>125671.60000000056</v>
      </c>
      <c r="M279" s="183">
        <f t="shared" si="42"/>
        <v>2.5694186036051253E-2</v>
      </c>
      <c r="N279" s="184">
        <f t="shared" si="43"/>
        <v>3.4000000000000909</v>
      </c>
      <c r="O279" s="185">
        <f t="shared" si="44"/>
        <v>5.5528335783114344E-3</v>
      </c>
    </row>
    <row r="280" spans="1:15" x14ac:dyDescent="0.55000000000000004">
      <c r="A280" s="197" t="s">
        <v>273</v>
      </c>
      <c r="B280" s="176">
        <f>INDEX(Data[FY2026 Budget Enrollment],MATCH(A280,Data[Label],0))</f>
        <v>198.1</v>
      </c>
      <c r="C280" s="177">
        <f>INDEX(Data[FY26 RPDC Per Student],MATCH(A280,Data[Label],0))</f>
        <v>7988</v>
      </c>
      <c r="D280" s="177">
        <f>INDEX(Data[FY2026 RPDC Total],MATCH(A280,Data[Label],0))</f>
        <v>1582423</v>
      </c>
      <c r="E280" s="177">
        <f>INDEX(Data[FY2026 RPDC Budget Guarantee],MATCH(A280,Data[Label],0))</f>
        <v>0</v>
      </c>
      <c r="F280" s="193">
        <f t="shared" si="36"/>
        <v>1582423</v>
      </c>
      <c r="G280" s="176">
        <f>INDEX(Data[FY2027 Budget Enrollment],MATCH(A280,Data[Label],0))</f>
        <v>184.2</v>
      </c>
      <c r="H280" s="177">
        <f t="shared" si="37"/>
        <v>8148</v>
      </c>
      <c r="I280" s="177">
        <f t="shared" si="38"/>
        <v>1500861.5999999999</v>
      </c>
      <c r="J280" s="177">
        <f t="shared" si="39"/>
        <v>97386</v>
      </c>
      <c r="K280" s="177">
        <f t="shared" si="40"/>
        <v>1598247.5999999999</v>
      </c>
      <c r="L280" s="177">
        <f t="shared" si="41"/>
        <v>15824.59999999986</v>
      </c>
      <c r="M280" s="178">
        <f t="shared" si="42"/>
        <v>1.0000233818643851E-2</v>
      </c>
      <c r="N280" s="179">
        <f t="shared" si="43"/>
        <v>-13.900000000000006</v>
      </c>
      <c r="O280" s="180">
        <f t="shared" si="44"/>
        <v>-7.0166582534073735E-2</v>
      </c>
    </row>
    <row r="281" spans="1:15" x14ac:dyDescent="0.55000000000000004">
      <c r="A281" s="198" t="s">
        <v>274</v>
      </c>
      <c r="B281" s="181">
        <f>INDEX(Data[FY2026 Budget Enrollment],MATCH(A281,Data[Label],0))</f>
        <v>540</v>
      </c>
      <c r="C281" s="182">
        <f>INDEX(Data[FY26 RPDC Per Student],MATCH(A281,Data[Label],0))</f>
        <v>7988</v>
      </c>
      <c r="D281" s="182">
        <f>INDEX(Data[FY2026 RPDC Total],MATCH(A281,Data[Label],0))</f>
        <v>4313520</v>
      </c>
      <c r="E281" s="182">
        <f>INDEX(Data[FY2026 RPDC Budget Guarantee],MATCH(A281,Data[Label],0))</f>
        <v>230639</v>
      </c>
      <c r="F281" s="194">
        <f t="shared" si="36"/>
        <v>4544159</v>
      </c>
      <c r="G281" s="181">
        <f>INDEX(Data[FY2027 Budget Enrollment],MATCH(A281,Data[Label],0))</f>
        <v>527.9</v>
      </c>
      <c r="H281" s="182">
        <f t="shared" si="37"/>
        <v>8148</v>
      </c>
      <c r="I281" s="182">
        <f t="shared" si="38"/>
        <v>4301329.2</v>
      </c>
      <c r="J281" s="182">
        <f t="shared" si="39"/>
        <v>55326</v>
      </c>
      <c r="K281" s="182">
        <f t="shared" si="40"/>
        <v>4356655.2</v>
      </c>
      <c r="L281" s="182">
        <f t="shared" si="41"/>
        <v>-187503.79999999981</v>
      </c>
      <c r="M281" s="183">
        <f t="shared" si="42"/>
        <v>-4.12625966653015E-2</v>
      </c>
      <c r="N281" s="184">
        <f t="shared" si="43"/>
        <v>-12.100000000000023</v>
      </c>
      <c r="O281" s="185">
        <f t="shared" si="44"/>
        <v>-2.2407407407407449E-2</v>
      </c>
    </row>
    <row r="282" spans="1:15" x14ac:dyDescent="0.55000000000000004">
      <c r="A282" s="197" t="s">
        <v>275</v>
      </c>
      <c r="B282" s="176">
        <f>INDEX(Data[FY2026 Budget Enrollment],MATCH(A282,Data[Label],0))</f>
        <v>2662</v>
      </c>
      <c r="C282" s="177">
        <f>INDEX(Data[FY26 RPDC Per Student],MATCH(A282,Data[Label],0))</f>
        <v>7988</v>
      </c>
      <c r="D282" s="177">
        <f>INDEX(Data[FY2026 RPDC Total],MATCH(A282,Data[Label],0))</f>
        <v>21264056</v>
      </c>
      <c r="E282" s="177">
        <f>INDEX(Data[FY2026 RPDC Budget Guarantee],MATCH(A282,Data[Label],0))</f>
        <v>0</v>
      </c>
      <c r="F282" s="193">
        <f t="shared" si="36"/>
        <v>21264056</v>
      </c>
      <c r="G282" s="176">
        <f>INDEX(Data[FY2027 Budget Enrollment],MATCH(A282,Data[Label],0))</f>
        <v>2618.1999999999998</v>
      </c>
      <c r="H282" s="177">
        <f t="shared" si="37"/>
        <v>8148</v>
      </c>
      <c r="I282" s="177">
        <f t="shared" si="38"/>
        <v>21333093.599999998</v>
      </c>
      <c r="J282" s="177">
        <f t="shared" si="39"/>
        <v>143603</v>
      </c>
      <c r="K282" s="177">
        <f t="shared" si="40"/>
        <v>21476696.599999998</v>
      </c>
      <c r="L282" s="177">
        <f t="shared" si="41"/>
        <v>212640.59999999776</v>
      </c>
      <c r="M282" s="178">
        <f t="shared" si="42"/>
        <v>1.0000001881108561E-2</v>
      </c>
      <c r="N282" s="179">
        <f t="shared" si="43"/>
        <v>-43.800000000000182</v>
      </c>
      <c r="O282" s="180">
        <f t="shared" si="44"/>
        <v>-1.6453794139744623E-2</v>
      </c>
    </row>
    <row r="283" spans="1:15" x14ac:dyDescent="0.55000000000000004">
      <c r="A283" s="198" t="s">
        <v>276</v>
      </c>
      <c r="B283" s="181">
        <f>INDEX(Data[FY2026 Budget Enrollment],MATCH(A283,Data[Label],0))</f>
        <v>137.1</v>
      </c>
      <c r="C283" s="182">
        <f>INDEX(Data[FY26 RPDC Per Student],MATCH(A283,Data[Label],0))</f>
        <v>8123</v>
      </c>
      <c r="D283" s="182">
        <f>INDEX(Data[FY2026 RPDC Total],MATCH(A283,Data[Label],0))</f>
        <v>1113663</v>
      </c>
      <c r="E283" s="182">
        <f>INDEX(Data[FY2026 RPDC Budget Guarantee],MATCH(A283,Data[Label],0))</f>
        <v>60198</v>
      </c>
      <c r="F283" s="194">
        <f t="shared" si="36"/>
        <v>1173861</v>
      </c>
      <c r="G283" s="181">
        <f>INDEX(Data[FY2027 Budget Enrollment],MATCH(A283,Data[Label],0))</f>
        <v>142.1</v>
      </c>
      <c r="H283" s="182">
        <f t="shared" si="37"/>
        <v>8283</v>
      </c>
      <c r="I283" s="182">
        <f t="shared" si="38"/>
        <v>1177014.3</v>
      </c>
      <c r="J283" s="182">
        <f t="shared" si="39"/>
        <v>0</v>
      </c>
      <c r="K283" s="182">
        <f t="shared" si="40"/>
        <v>1177014.3</v>
      </c>
      <c r="L283" s="182">
        <f t="shared" si="41"/>
        <v>3153.3000000000466</v>
      </c>
      <c r="M283" s="183">
        <f t="shared" si="42"/>
        <v>2.686263535461223E-3</v>
      </c>
      <c r="N283" s="184">
        <f t="shared" si="43"/>
        <v>5</v>
      </c>
      <c r="O283" s="185">
        <f t="shared" si="44"/>
        <v>3.6469730123997082E-2</v>
      </c>
    </row>
    <row r="284" spans="1:15" x14ac:dyDescent="0.55000000000000004">
      <c r="A284" s="197" t="s">
        <v>277</v>
      </c>
      <c r="B284" s="176">
        <f>INDEX(Data[FY2026 Budget Enrollment],MATCH(A284,Data[Label],0))</f>
        <v>759</v>
      </c>
      <c r="C284" s="177">
        <f>INDEX(Data[FY26 RPDC Per Student],MATCH(A284,Data[Label],0))</f>
        <v>7988</v>
      </c>
      <c r="D284" s="177">
        <f>INDEX(Data[FY2026 RPDC Total],MATCH(A284,Data[Label],0))</f>
        <v>6062892</v>
      </c>
      <c r="E284" s="177">
        <f>INDEX(Data[FY2026 RPDC Budget Guarantee],MATCH(A284,Data[Label],0))</f>
        <v>81090</v>
      </c>
      <c r="F284" s="193">
        <f t="shared" si="36"/>
        <v>6143982</v>
      </c>
      <c r="G284" s="176">
        <f>INDEX(Data[FY2027 Budget Enrollment],MATCH(A284,Data[Label],0))</f>
        <v>737.3</v>
      </c>
      <c r="H284" s="177">
        <f t="shared" si="37"/>
        <v>8148</v>
      </c>
      <c r="I284" s="177">
        <f t="shared" si="38"/>
        <v>6007520.3999999994</v>
      </c>
      <c r="J284" s="177">
        <f t="shared" si="39"/>
        <v>116001</v>
      </c>
      <c r="K284" s="177">
        <f t="shared" si="40"/>
        <v>6123521.3999999994</v>
      </c>
      <c r="L284" s="177">
        <f t="shared" si="41"/>
        <v>-20460.600000000559</v>
      </c>
      <c r="M284" s="178">
        <f t="shared" si="42"/>
        <v>-3.3301855376530335E-3</v>
      </c>
      <c r="N284" s="179">
        <f t="shared" si="43"/>
        <v>-21.700000000000045</v>
      </c>
      <c r="O284" s="180">
        <f t="shared" si="44"/>
        <v>-2.8590250329380826E-2</v>
      </c>
    </row>
    <row r="285" spans="1:15" x14ac:dyDescent="0.55000000000000004">
      <c r="A285" s="198" t="s">
        <v>278</v>
      </c>
      <c r="B285" s="181">
        <f>INDEX(Data[FY2026 Budget Enrollment],MATCH(A285,Data[Label],0))</f>
        <v>756.5</v>
      </c>
      <c r="C285" s="182">
        <f>INDEX(Data[FY26 RPDC Per Student],MATCH(A285,Data[Label],0))</f>
        <v>7999</v>
      </c>
      <c r="D285" s="182">
        <f>INDEX(Data[FY2026 RPDC Total],MATCH(A285,Data[Label],0))</f>
        <v>6051244</v>
      </c>
      <c r="E285" s="182">
        <f>INDEX(Data[FY2026 RPDC Budget Guarantee],MATCH(A285,Data[Label],0))</f>
        <v>362713</v>
      </c>
      <c r="F285" s="194">
        <f t="shared" si="36"/>
        <v>6413957</v>
      </c>
      <c r="G285" s="181">
        <f>INDEX(Data[FY2027 Budget Enrollment],MATCH(A285,Data[Label],0))</f>
        <v>752.7</v>
      </c>
      <c r="H285" s="182">
        <f t="shared" si="37"/>
        <v>8159</v>
      </c>
      <c r="I285" s="182">
        <f t="shared" si="38"/>
        <v>6141279.3000000007</v>
      </c>
      <c r="J285" s="182">
        <f t="shared" si="39"/>
        <v>0</v>
      </c>
      <c r="K285" s="182">
        <f t="shared" si="40"/>
        <v>6141279.3000000007</v>
      </c>
      <c r="L285" s="182">
        <f t="shared" si="41"/>
        <v>-272677.69999999925</v>
      </c>
      <c r="M285" s="183">
        <f t="shared" si="42"/>
        <v>-4.2513178682052163E-2</v>
      </c>
      <c r="N285" s="184">
        <f t="shared" si="43"/>
        <v>-3.7999999999999545</v>
      </c>
      <c r="O285" s="185">
        <f t="shared" si="44"/>
        <v>-5.0231328486450158E-3</v>
      </c>
    </row>
    <row r="286" spans="1:15" x14ac:dyDescent="0.55000000000000004">
      <c r="A286" s="197" t="s">
        <v>279</v>
      </c>
      <c r="B286" s="176">
        <f>INDEX(Data[FY2026 Budget Enrollment],MATCH(A286,Data[Label],0))</f>
        <v>578.70000000000005</v>
      </c>
      <c r="C286" s="177">
        <f>INDEX(Data[FY26 RPDC Per Student],MATCH(A286,Data[Label],0))</f>
        <v>7988</v>
      </c>
      <c r="D286" s="177">
        <f>INDEX(Data[FY2026 RPDC Total],MATCH(A286,Data[Label],0))</f>
        <v>4622656</v>
      </c>
      <c r="E286" s="177">
        <f>INDEX(Data[FY2026 RPDC Budget Guarantee],MATCH(A286,Data[Label],0))</f>
        <v>0</v>
      </c>
      <c r="F286" s="193">
        <f t="shared" si="36"/>
        <v>4622656</v>
      </c>
      <c r="G286" s="176">
        <f>INDEX(Data[FY2027 Budget Enrollment],MATCH(A286,Data[Label],0))</f>
        <v>593.9</v>
      </c>
      <c r="H286" s="177">
        <f t="shared" si="37"/>
        <v>8148</v>
      </c>
      <c r="I286" s="177">
        <f t="shared" si="38"/>
        <v>4839097.2</v>
      </c>
      <c r="J286" s="177">
        <f t="shared" si="39"/>
        <v>0</v>
      </c>
      <c r="K286" s="177">
        <f t="shared" si="40"/>
        <v>4839097.2</v>
      </c>
      <c r="L286" s="177">
        <f t="shared" si="41"/>
        <v>216441.20000000019</v>
      </c>
      <c r="M286" s="178">
        <f t="shared" si="42"/>
        <v>4.68218271054563E-2</v>
      </c>
      <c r="N286" s="179">
        <f t="shared" si="43"/>
        <v>15.199999999999932</v>
      </c>
      <c r="O286" s="180">
        <f t="shared" si="44"/>
        <v>2.6265768100915726E-2</v>
      </c>
    </row>
    <row r="287" spans="1:15" x14ac:dyDescent="0.55000000000000004">
      <c r="A287" s="198" t="s">
        <v>280</v>
      </c>
      <c r="B287" s="181">
        <f>INDEX(Data[FY2026 Budget Enrollment],MATCH(A287,Data[Label],0))</f>
        <v>665.7</v>
      </c>
      <c r="C287" s="182">
        <f>INDEX(Data[FY26 RPDC Per Student],MATCH(A287,Data[Label],0))</f>
        <v>7988</v>
      </c>
      <c r="D287" s="182">
        <f>INDEX(Data[FY2026 RPDC Total],MATCH(A287,Data[Label],0))</f>
        <v>5317612</v>
      </c>
      <c r="E287" s="182">
        <f>INDEX(Data[FY2026 RPDC Budget Guarantee],MATCH(A287,Data[Label],0))</f>
        <v>0</v>
      </c>
      <c r="F287" s="194">
        <f t="shared" si="36"/>
        <v>5317612</v>
      </c>
      <c r="G287" s="181">
        <f>INDEX(Data[FY2027 Budget Enrollment],MATCH(A287,Data[Label],0))</f>
        <v>666.2</v>
      </c>
      <c r="H287" s="182">
        <f t="shared" si="37"/>
        <v>8148</v>
      </c>
      <c r="I287" s="182">
        <f t="shared" si="38"/>
        <v>5428197.6000000006</v>
      </c>
      <c r="J287" s="182">
        <f t="shared" si="39"/>
        <v>0</v>
      </c>
      <c r="K287" s="182">
        <f t="shared" si="40"/>
        <v>5428197.6000000006</v>
      </c>
      <c r="L287" s="182">
        <f t="shared" si="41"/>
        <v>110585.60000000056</v>
      </c>
      <c r="M287" s="183">
        <f t="shared" si="42"/>
        <v>2.0796101708812256E-2</v>
      </c>
      <c r="N287" s="184">
        <f t="shared" si="43"/>
        <v>0.5</v>
      </c>
      <c r="O287" s="185">
        <f t="shared" si="44"/>
        <v>7.5108907916478891E-4</v>
      </c>
    </row>
    <row r="288" spans="1:15" x14ac:dyDescent="0.55000000000000004">
      <c r="A288" s="197" t="s">
        <v>281</v>
      </c>
      <c r="B288" s="176">
        <f>INDEX(Data[FY2026 Budget Enrollment],MATCH(A288,Data[Label],0))</f>
        <v>239.8</v>
      </c>
      <c r="C288" s="177">
        <f>INDEX(Data[FY26 RPDC Per Student],MATCH(A288,Data[Label],0))</f>
        <v>7988</v>
      </c>
      <c r="D288" s="177">
        <f>INDEX(Data[FY2026 RPDC Total],MATCH(A288,Data[Label],0))</f>
        <v>1915522</v>
      </c>
      <c r="E288" s="177">
        <f>INDEX(Data[FY2026 RPDC Budget Guarantee],MATCH(A288,Data[Label],0))</f>
        <v>114292</v>
      </c>
      <c r="F288" s="193">
        <f t="shared" si="36"/>
        <v>2029814</v>
      </c>
      <c r="G288" s="176">
        <f>INDEX(Data[FY2027 Budget Enrollment],MATCH(A288,Data[Label],0))</f>
        <v>226.3</v>
      </c>
      <c r="H288" s="177">
        <f t="shared" si="37"/>
        <v>8148</v>
      </c>
      <c r="I288" s="177">
        <f t="shared" si="38"/>
        <v>1843892.4000000001</v>
      </c>
      <c r="J288" s="177">
        <f t="shared" si="39"/>
        <v>90785</v>
      </c>
      <c r="K288" s="177">
        <f t="shared" si="40"/>
        <v>1934677.4000000001</v>
      </c>
      <c r="L288" s="177">
        <f t="shared" si="41"/>
        <v>-95136.59999999986</v>
      </c>
      <c r="M288" s="178">
        <f t="shared" si="42"/>
        <v>-4.6869614654347573E-2</v>
      </c>
      <c r="N288" s="179">
        <f t="shared" si="43"/>
        <v>-13.5</v>
      </c>
      <c r="O288" s="180">
        <f t="shared" si="44"/>
        <v>-5.6296914095079233E-2</v>
      </c>
    </row>
    <row r="289" spans="1:15" x14ac:dyDescent="0.55000000000000004">
      <c r="A289" s="198" t="s">
        <v>282</v>
      </c>
      <c r="B289" s="181">
        <f>INDEX(Data[FY2026 Budget Enrollment],MATCH(A289,Data[Label],0))</f>
        <v>383</v>
      </c>
      <c r="C289" s="182">
        <f>INDEX(Data[FY26 RPDC Per Student],MATCH(A289,Data[Label],0))</f>
        <v>7988</v>
      </c>
      <c r="D289" s="182">
        <f>INDEX(Data[FY2026 RPDC Total],MATCH(A289,Data[Label],0))</f>
        <v>3059404</v>
      </c>
      <c r="E289" s="182">
        <f>INDEX(Data[FY2026 RPDC Budget Guarantee],MATCH(A289,Data[Label],0))</f>
        <v>0</v>
      </c>
      <c r="F289" s="194">
        <f t="shared" si="36"/>
        <v>3059404</v>
      </c>
      <c r="G289" s="181">
        <f>INDEX(Data[FY2027 Budget Enrollment],MATCH(A289,Data[Label],0))</f>
        <v>372.3</v>
      </c>
      <c r="H289" s="182">
        <f t="shared" si="37"/>
        <v>8148</v>
      </c>
      <c r="I289" s="182">
        <f t="shared" si="38"/>
        <v>3033500.4</v>
      </c>
      <c r="J289" s="182">
        <f t="shared" si="39"/>
        <v>56498</v>
      </c>
      <c r="K289" s="182">
        <f t="shared" si="40"/>
        <v>3089998.4</v>
      </c>
      <c r="L289" s="182">
        <f t="shared" si="41"/>
        <v>30594.399999999907</v>
      </c>
      <c r="M289" s="183">
        <f t="shared" si="42"/>
        <v>1.0000117669977521E-2</v>
      </c>
      <c r="N289" s="184">
        <f t="shared" si="43"/>
        <v>-10.699999999999989</v>
      </c>
      <c r="O289" s="185">
        <f t="shared" si="44"/>
        <v>-2.7937336814621381E-2</v>
      </c>
    </row>
    <row r="290" spans="1:15" x14ac:dyDescent="0.55000000000000004">
      <c r="A290" s="197" t="s">
        <v>283</v>
      </c>
      <c r="B290" s="176">
        <f>INDEX(Data[FY2026 Budget Enrollment],MATCH(A290,Data[Label],0))</f>
        <v>356.9</v>
      </c>
      <c r="C290" s="177">
        <f>INDEX(Data[FY26 RPDC Per Student],MATCH(A290,Data[Label],0))</f>
        <v>8115</v>
      </c>
      <c r="D290" s="177">
        <f>INDEX(Data[FY2026 RPDC Total],MATCH(A290,Data[Label],0))</f>
        <v>2896244</v>
      </c>
      <c r="E290" s="177">
        <f>INDEX(Data[FY2026 RPDC Budget Guarantee],MATCH(A290,Data[Label],0))</f>
        <v>0</v>
      </c>
      <c r="F290" s="193">
        <f t="shared" si="36"/>
        <v>2896244</v>
      </c>
      <c r="G290" s="176">
        <f>INDEX(Data[FY2027 Budget Enrollment],MATCH(A290,Data[Label],0))</f>
        <v>365.1</v>
      </c>
      <c r="H290" s="177">
        <f t="shared" si="37"/>
        <v>8275</v>
      </c>
      <c r="I290" s="177">
        <f t="shared" si="38"/>
        <v>3021202.5</v>
      </c>
      <c r="J290" s="177">
        <f t="shared" si="39"/>
        <v>0</v>
      </c>
      <c r="K290" s="177">
        <f t="shared" si="40"/>
        <v>3021202.5</v>
      </c>
      <c r="L290" s="177">
        <f t="shared" si="41"/>
        <v>124958.5</v>
      </c>
      <c r="M290" s="178">
        <f t="shared" si="42"/>
        <v>4.3145018168358744E-2</v>
      </c>
      <c r="N290" s="179">
        <f t="shared" si="43"/>
        <v>8.2000000000000455</v>
      </c>
      <c r="O290" s="180">
        <f t="shared" si="44"/>
        <v>2.29756234239284E-2</v>
      </c>
    </row>
    <row r="291" spans="1:15" x14ac:dyDescent="0.55000000000000004">
      <c r="A291" s="198" t="s">
        <v>284</v>
      </c>
      <c r="B291" s="181">
        <f>INDEX(Data[FY2026 Budget Enrollment],MATCH(A291,Data[Label],0))</f>
        <v>291.8</v>
      </c>
      <c r="C291" s="182">
        <f>INDEX(Data[FY26 RPDC Per Student],MATCH(A291,Data[Label],0))</f>
        <v>7998</v>
      </c>
      <c r="D291" s="182">
        <f>INDEX(Data[FY2026 RPDC Total],MATCH(A291,Data[Label],0))</f>
        <v>2333816</v>
      </c>
      <c r="E291" s="182">
        <f>INDEX(Data[FY2026 RPDC Budget Guarantee],MATCH(A291,Data[Label],0))</f>
        <v>154462</v>
      </c>
      <c r="F291" s="194">
        <f t="shared" si="36"/>
        <v>2488278</v>
      </c>
      <c r="G291" s="181">
        <f>INDEX(Data[FY2027 Budget Enrollment],MATCH(A291,Data[Label],0))</f>
        <v>273.8</v>
      </c>
      <c r="H291" s="182">
        <f t="shared" si="37"/>
        <v>8158</v>
      </c>
      <c r="I291" s="182">
        <f t="shared" si="38"/>
        <v>2233660.4</v>
      </c>
      <c r="J291" s="182">
        <f t="shared" si="39"/>
        <v>123494</v>
      </c>
      <c r="K291" s="182">
        <f t="shared" si="40"/>
        <v>2357154.4</v>
      </c>
      <c r="L291" s="182">
        <f t="shared" si="41"/>
        <v>-131123.60000000009</v>
      </c>
      <c r="M291" s="183">
        <f t="shared" si="42"/>
        <v>-5.269652345919551E-2</v>
      </c>
      <c r="N291" s="184">
        <f t="shared" si="43"/>
        <v>-18</v>
      </c>
      <c r="O291" s="185">
        <f t="shared" si="44"/>
        <v>-6.1686086360520899E-2</v>
      </c>
    </row>
    <row r="292" spans="1:15" x14ac:dyDescent="0.55000000000000004">
      <c r="A292" s="197" t="s">
        <v>285</v>
      </c>
      <c r="B292" s="176">
        <f>INDEX(Data[FY2026 Budget Enrollment],MATCH(A292,Data[Label],0))</f>
        <v>162</v>
      </c>
      <c r="C292" s="177">
        <f>INDEX(Data[FY26 RPDC Per Student],MATCH(A292,Data[Label],0))</f>
        <v>8123</v>
      </c>
      <c r="D292" s="177">
        <f>INDEX(Data[FY2026 RPDC Total],MATCH(A292,Data[Label],0))</f>
        <v>1315926</v>
      </c>
      <c r="E292" s="177">
        <f>INDEX(Data[FY2026 RPDC Budget Guarantee],MATCH(A292,Data[Label],0))</f>
        <v>0</v>
      </c>
      <c r="F292" s="193">
        <f t="shared" si="36"/>
        <v>1315926</v>
      </c>
      <c r="G292" s="176">
        <f>INDEX(Data[FY2027 Budget Enrollment],MATCH(A292,Data[Label],0))</f>
        <v>152</v>
      </c>
      <c r="H292" s="177">
        <f t="shared" si="37"/>
        <v>8283</v>
      </c>
      <c r="I292" s="177">
        <f t="shared" si="38"/>
        <v>1259016</v>
      </c>
      <c r="J292" s="177">
        <f t="shared" si="39"/>
        <v>70069</v>
      </c>
      <c r="K292" s="177">
        <f t="shared" si="40"/>
        <v>1329085</v>
      </c>
      <c r="L292" s="177">
        <f t="shared" si="41"/>
        <v>13159</v>
      </c>
      <c r="M292" s="178">
        <f t="shared" si="42"/>
        <v>9.999802420500848E-3</v>
      </c>
      <c r="N292" s="179">
        <f t="shared" si="43"/>
        <v>-10</v>
      </c>
      <c r="O292" s="180">
        <f t="shared" si="44"/>
        <v>-6.1728395061728392E-2</v>
      </c>
    </row>
    <row r="293" spans="1:15" x14ac:dyDescent="0.55000000000000004">
      <c r="A293" s="198" t="s">
        <v>286</v>
      </c>
      <c r="B293" s="181">
        <f>INDEX(Data[FY2026 Budget Enrollment],MATCH(A293,Data[Label],0))</f>
        <v>725.2</v>
      </c>
      <c r="C293" s="182">
        <f>INDEX(Data[FY26 RPDC Per Student],MATCH(A293,Data[Label],0))</f>
        <v>7988</v>
      </c>
      <c r="D293" s="182">
        <f>INDEX(Data[FY2026 RPDC Total],MATCH(A293,Data[Label],0))</f>
        <v>5792898</v>
      </c>
      <c r="E293" s="182">
        <f>INDEX(Data[FY2026 RPDC Budget Guarantee],MATCH(A293,Data[Label],0))</f>
        <v>11200</v>
      </c>
      <c r="F293" s="194">
        <f t="shared" si="36"/>
        <v>5804098</v>
      </c>
      <c r="G293" s="181">
        <f>INDEX(Data[FY2027 Budget Enrollment],MATCH(A293,Data[Label],0))</f>
        <v>706.5</v>
      </c>
      <c r="H293" s="182">
        <f t="shared" si="37"/>
        <v>8148</v>
      </c>
      <c r="I293" s="182">
        <f t="shared" si="38"/>
        <v>5756562</v>
      </c>
      <c r="J293" s="182">
        <f t="shared" si="39"/>
        <v>94265</v>
      </c>
      <c r="K293" s="182">
        <f t="shared" si="40"/>
        <v>5850827</v>
      </c>
      <c r="L293" s="182">
        <f t="shared" si="41"/>
        <v>46729</v>
      </c>
      <c r="M293" s="183">
        <f t="shared" si="42"/>
        <v>8.0510356648009727E-3</v>
      </c>
      <c r="N293" s="184">
        <f t="shared" si="43"/>
        <v>-18.700000000000045</v>
      </c>
      <c r="O293" s="185">
        <f t="shared" si="44"/>
        <v>-2.5785990071704418E-2</v>
      </c>
    </row>
    <row r="294" spans="1:15" x14ac:dyDescent="0.55000000000000004">
      <c r="A294" s="197" t="s">
        <v>287</v>
      </c>
      <c r="B294" s="176">
        <f>INDEX(Data[FY2026 Budget Enrollment],MATCH(A294,Data[Label],0))</f>
        <v>908.9</v>
      </c>
      <c r="C294" s="177">
        <f>INDEX(Data[FY26 RPDC Per Student],MATCH(A294,Data[Label],0))</f>
        <v>8030</v>
      </c>
      <c r="D294" s="177">
        <f>INDEX(Data[FY2026 RPDC Total],MATCH(A294,Data[Label],0))</f>
        <v>7298467</v>
      </c>
      <c r="E294" s="177">
        <f>INDEX(Data[FY2026 RPDC Budget Guarantee],MATCH(A294,Data[Label],0))</f>
        <v>214327</v>
      </c>
      <c r="F294" s="193">
        <f t="shared" si="36"/>
        <v>7512794</v>
      </c>
      <c r="G294" s="176">
        <f>INDEX(Data[FY2027 Budget Enrollment],MATCH(A294,Data[Label],0))</f>
        <v>915</v>
      </c>
      <c r="H294" s="177">
        <f t="shared" si="37"/>
        <v>8190</v>
      </c>
      <c r="I294" s="177">
        <f t="shared" si="38"/>
        <v>7493850</v>
      </c>
      <c r="J294" s="177">
        <f t="shared" si="39"/>
        <v>0</v>
      </c>
      <c r="K294" s="177">
        <f t="shared" si="40"/>
        <v>7493850</v>
      </c>
      <c r="L294" s="177">
        <f t="shared" si="41"/>
        <v>-18944</v>
      </c>
      <c r="M294" s="178">
        <f t="shared" si="42"/>
        <v>-2.5215652126226273E-3</v>
      </c>
      <c r="N294" s="179">
        <f t="shared" si="43"/>
        <v>6.1000000000000227</v>
      </c>
      <c r="O294" s="180">
        <f t="shared" si="44"/>
        <v>6.7114093959731794E-3</v>
      </c>
    </row>
    <row r="295" spans="1:15" x14ac:dyDescent="0.55000000000000004">
      <c r="A295" s="198" t="s">
        <v>288</v>
      </c>
      <c r="B295" s="181">
        <f>INDEX(Data[FY2026 Budget Enrollment],MATCH(A295,Data[Label],0))</f>
        <v>364.7</v>
      </c>
      <c r="C295" s="182">
        <f>INDEX(Data[FY26 RPDC Per Student],MATCH(A295,Data[Label],0))</f>
        <v>7988</v>
      </c>
      <c r="D295" s="182">
        <f>INDEX(Data[FY2026 RPDC Total],MATCH(A295,Data[Label],0))</f>
        <v>2913224</v>
      </c>
      <c r="E295" s="182">
        <f>INDEX(Data[FY2026 RPDC Budget Guarantee],MATCH(A295,Data[Label],0))</f>
        <v>0</v>
      </c>
      <c r="F295" s="194">
        <f t="shared" si="36"/>
        <v>2913224</v>
      </c>
      <c r="G295" s="181">
        <f>INDEX(Data[FY2027 Budget Enrollment],MATCH(A295,Data[Label],0))</f>
        <v>314.2</v>
      </c>
      <c r="H295" s="182">
        <f t="shared" si="37"/>
        <v>8148</v>
      </c>
      <c r="I295" s="182">
        <f t="shared" si="38"/>
        <v>2560101.6</v>
      </c>
      <c r="J295" s="182">
        <f t="shared" si="39"/>
        <v>382255</v>
      </c>
      <c r="K295" s="182">
        <f t="shared" si="40"/>
        <v>2942356.6</v>
      </c>
      <c r="L295" s="182">
        <f t="shared" si="41"/>
        <v>29132.600000000093</v>
      </c>
      <c r="M295" s="183">
        <f t="shared" si="42"/>
        <v>1.0000123574431658E-2</v>
      </c>
      <c r="N295" s="184">
        <f t="shared" si="43"/>
        <v>-50.5</v>
      </c>
      <c r="O295" s="185">
        <f t="shared" si="44"/>
        <v>-0.13846997532218261</v>
      </c>
    </row>
    <row r="296" spans="1:15" x14ac:dyDescent="0.55000000000000004">
      <c r="A296" s="197" t="s">
        <v>289</v>
      </c>
      <c r="B296" s="176">
        <f>INDEX(Data[FY2026 Budget Enrollment],MATCH(A296,Data[Label],0))</f>
        <v>3457.3</v>
      </c>
      <c r="C296" s="177">
        <f>INDEX(Data[FY26 RPDC Per Student],MATCH(A296,Data[Label],0))</f>
        <v>7988</v>
      </c>
      <c r="D296" s="177">
        <f>INDEX(Data[FY2026 RPDC Total],MATCH(A296,Data[Label],0))</f>
        <v>27616912</v>
      </c>
      <c r="E296" s="177">
        <f>INDEX(Data[FY2026 RPDC Budget Guarantee],MATCH(A296,Data[Label],0))</f>
        <v>0</v>
      </c>
      <c r="F296" s="193">
        <f t="shared" si="36"/>
        <v>27616912</v>
      </c>
      <c r="G296" s="176">
        <f>INDEX(Data[FY2027 Budget Enrollment],MATCH(A296,Data[Label],0))</f>
        <v>3339.6</v>
      </c>
      <c r="H296" s="177">
        <f t="shared" si="37"/>
        <v>8148</v>
      </c>
      <c r="I296" s="177">
        <f t="shared" si="38"/>
        <v>27211060.800000001</v>
      </c>
      <c r="J296" s="177">
        <f t="shared" si="39"/>
        <v>682020</v>
      </c>
      <c r="K296" s="177">
        <f t="shared" si="40"/>
        <v>27893080.800000001</v>
      </c>
      <c r="L296" s="177">
        <f t="shared" si="41"/>
        <v>276168.80000000075</v>
      </c>
      <c r="M296" s="178">
        <f t="shared" si="42"/>
        <v>9.9999884128971674E-3</v>
      </c>
      <c r="N296" s="179">
        <f t="shared" si="43"/>
        <v>-117.70000000000027</v>
      </c>
      <c r="O296" s="180">
        <f t="shared" si="44"/>
        <v>-3.4043907095132116E-2</v>
      </c>
    </row>
    <row r="297" spans="1:15" x14ac:dyDescent="0.55000000000000004">
      <c r="A297" s="198" t="s">
        <v>290</v>
      </c>
      <c r="B297" s="181">
        <f>INDEX(Data[FY2026 Budget Enrollment],MATCH(A297,Data[Label],0))</f>
        <v>952.3</v>
      </c>
      <c r="C297" s="182">
        <f>INDEX(Data[FY26 RPDC Per Student],MATCH(A297,Data[Label],0))</f>
        <v>7988</v>
      </c>
      <c r="D297" s="182">
        <f>INDEX(Data[FY2026 RPDC Total],MATCH(A297,Data[Label],0))</f>
        <v>7606972</v>
      </c>
      <c r="E297" s="182">
        <f>INDEX(Data[FY2026 RPDC Budget Guarantee],MATCH(A297,Data[Label],0))</f>
        <v>0</v>
      </c>
      <c r="F297" s="194">
        <f t="shared" si="36"/>
        <v>7606972</v>
      </c>
      <c r="G297" s="181">
        <f>INDEX(Data[FY2027 Budget Enrollment],MATCH(A297,Data[Label],0))</f>
        <v>945.3</v>
      </c>
      <c r="H297" s="182">
        <f t="shared" si="37"/>
        <v>8148</v>
      </c>
      <c r="I297" s="182">
        <f t="shared" si="38"/>
        <v>7702304.3999999994</v>
      </c>
      <c r="J297" s="182">
        <f t="shared" si="39"/>
        <v>0</v>
      </c>
      <c r="K297" s="182">
        <f t="shared" si="40"/>
        <v>7702304.3999999994</v>
      </c>
      <c r="L297" s="182">
        <f t="shared" si="41"/>
        <v>95332.399999999441</v>
      </c>
      <c r="M297" s="183">
        <f t="shared" si="42"/>
        <v>1.2532240160736683E-2</v>
      </c>
      <c r="N297" s="184">
        <f t="shared" si="43"/>
        <v>-7</v>
      </c>
      <c r="O297" s="185">
        <f t="shared" si="44"/>
        <v>-7.3506248031082648E-3</v>
      </c>
    </row>
    <row r="298" spans="1:15" x14ac:dyDescent="0.55000000000000004">
      <c r="A298" s="197" t="s">
        <v>291</v>
      </c>
      <c r="B298" s="176">
        <f>INDEX(Data[FY2026 Budget Enrollment],MATCH(A298,Data[Label],0))</f>
        <v>960.5</v>
      </c>
      <c r="C298" s="177">
        <f>INDEX(Data[FY26 RPDC Per Student],MATCH(A298,Data[Label],0))</f>
        <v>7988</v>
      </c>
      <c r="D298" s="177">
        <f>INDEX(Data[FY2026 RPDC Total],MATCH(A298,Data[Label],0))</f>
        <v>7672474</v>
      </c>
      <c r="E298" s="177">
        <f>INDEX(Data[FY2026 RPDC Budget Guarantee],MATCH(A298,Data[Label],0))</f>
        <v>0</v>
      </c>
      <c r="F298" s="193">
        <f t="shared" si="36"/>
        <v>7672474</v>
      </c>
      <c r="G298" s="176">
        <f>INDEX(Data[FY2027 Budget Enrollment],MATCH(A298,Data[Label],0))</f>
        <v>983.8</v>
      </c>
      <c r="H298" s="177">
        <f t="shared" si="37"/>
        <v>8148</v>
      </c>
      <c r="I298" s="177">
        <f t="shared" si="38"/>
        <v>8016002.3999999994</v>
      </c>
      <c r="J298" s="177">
        <f t="shared" si="39"/>
        <v>0</v>
      </c>
      <c r="K298" s="177">
        <f t="shared" si="40"/>
        <v>8016002.3999999994</v>
      </c>
      <c r="L298" s="177">
        <f t="shared" si="41"/>
        <v>343528.39999999944</v>
      </c>
      <c r="M298" s="178">
        <f t="shared" si="42"/>
        <v>4.4774136738684217E-2</v>
      </c>
      <c r="N298" s="179">
        <f t="shared" si="43"/>
        <v>23.299999999999955</v>
      </c>
      <c r="O298" s="180">
        <f t="shared" si="44"/>
        <v>2.4258198854763095E-2</v>
      </c>
    </row>
    <row r="299" spans="1:15" x14ac:dyDescent="0.55000000000000004">
      <c r="A299" s="198" t="s">
        <v>292</v>
      </c>
      <c r="B299" s="181">
        <f>INDEX(Data[FY2026 Budget Enrollment],MATCH(A299,Data[Label],0))</f>
        <v>272</v>
      </c>
      <c r="C299" s="182">
        <f>INDEX(Data[FY26 RPDC Per Student],MATCH(A299,Data[Label],0))</f>
        <v>7988</v>
      </c>
      <c r="D299" s="182">
        <f>INDEX(Data[FY2026 RPDC Total],MATCH(A299,Data[Label],0))</f>
        <v>2172736</v>
      </c>
      <c r="E299" s="182">
        <f>INDEX(Data[FY2026 RPDC Budget Guarantee],MATCH(A299,Data[Label],0))</f>
        <v>56265</v>
      </c>
      <c r="F299" s="194">
        <f t="shared" si="36"/>
        <v>2229001</v>
      </c>
      <c r="G299" s="181">
        <f>INDEX(Data[FY2027 Budget Enrollment],MATCH(A299,Data[Label],0))</f>
        <v>278</v>
      </c>
      <c r="H299" s="182">
        <f t="shared" si="37"/>
        <v>8148</v>
      </c>
      <c r="I299" s="182">
        <f t="shared" si="38"/>
        <v>2265144</v>
      </c>
      <c r="J299" s="182">
        <f t="shared" si="39"/>
        <v>0</v>
      </c>
      <c r="K299" s="182">
        <f t="shared" si="40"/>
        <v>2265144</v>
      </c>
      <c r="L299" s="182">
        <f t="shared" si="41"/>
        <v>36143</v>
      </c>
      <c r="M299" s="183">
        <f t="shared" si="42"/>
        <v>1.621488729704473E-2</v>
      </c>
      <c r="N299" s="184">
        <f t="shared" si="43"/>
        <v>6</v>
      </c>
      <c r="O299" s="185">
        <f t="shared" si="44"/>
        <v>2.2058823529411766E-2</v>
      </c>
    </row>
    <row r="300" spans="1:15" x14ac:dyDescent="0.55000000000000004">
      <c r="A300" s="197" t="s">
        <v>293</v>
      </c>
      <c r="B300" s="176">
        <f>INDEX(Data[FY2026 Budget Enrollment],MATCH(A300,Data[Label],0))</f>
        <v>1625</v>
      </c>
      <c r="C300" s="177">
        <f>INDEX(Data[FY26 RPDC Per Student],MATCH(A300,Data[Label],0))</f>
        <v>7988</v>
      </c>
      <c r="D300" s="177">
        <f>INDEX(Data[FY2026 RPDC Total],MATCH(A300,Data[Label],0))</f>
        <v>12980500</v>
      </c>
      <c r="E300" s="177">
        <f>INDEX(Data[FY2026 RPDC Budget Guarantee],MATCH(A300,Data[Label],0))</f>
        <v>0</v>
      </c>
      <c r="F300" s="193">
        <f t="shared" si="36"/>
        <v>12980500</v>
      </c>
      <c r="G300" s="176">
        <f>INDEX(Data[FY2027 Budget Enrollment],MATCH(A300,Data[Label],0))</f>
        <v>1600.6</v>
      </c>
      <c r="H300" s="177">
        <f t="shared" si="37"/>
        <v>8148</v>
      </c>
      <c r="I300" s="177">
        <f t="shared" si="38"/>
        <v>13041688.799999999</v>
      </c>
      <c r="J300" s="177">
        <f t="shared" si="39"/>
        <v>68616</v>
      </c>
      <c r="K300" s="177">
        <f t="shared" si="40"/>
        <v>13110304.799999999</v>
      </c>
      <c r="L300" s="177">
        <f t="shared" si="41"/>
        <v>129804.79999999888</v>
      </c>
      <c r="M300" s="178">
        <f t="shared" si="42"/>
        <v>9.999984592272939E-3</v>
      </c>
      <c r="N300" s="179">
        <f t="shared" si="43"/>
        <v>-24.400000000000091</v>
      </c>
      <c r="O300" s="180">
        <f t="shared" si="44"/>
        <v>-1.5015384615384672E-2</v>
      </c>
    </row>
    <row r="301" spans="1:15" x14ac:dyDescent="0.55000000000000004">
      <c r="A301" s="198" t="s">
        <v>294</v>
      </c>
      <c r="B301" s="181">
        <f>INDEX(Data[FY2026 Budget Enrollment],MATCH(A301,Data[Label],0))</f>
        <v>482.9</v>
      </c>
      <c r="C301" s="182">
        <f>INDEX(Data[FY26 RPDC Per Student],MATCH(A301,Data[Label],0))</f>
        <v>8072</v>
      </c>
      <c r="D301" s="182">
        <f>INDEX(Data[FY2026 RPDC Total],MATCH(A301,Data[Label],0))</f>
        <v>3897969</v>
      </c>
      <c r="E301" s="182">
        <f>INDEX(Data[FY2026 RPDC Budget Guarantee],MATCH(A301,Data[Label],0))</f>
        <v>0</v>
      </c>
      <c r="F301" s="194">
        <f t="shared" si="36"/>
        <v>3897969</v>
      </c>
      <c r="G301" s="181">
        <f>INDEX(Data[FY2027 Budget Enrollment],MATCH(A301,Data[Label],0))</f>
        <v>481.6</v>
      </c>
      <c r="H301" s="182">
        <f t="shared" si="37"/>
        <v>8232</v>
      </c>
      <c r="I301" s="182">
        <f t="shared" si="38"/>
        <v>3964531.2</v>
      </c>
      <c r="J301" s="182">
        <f t="shared" si="39"/>
        <v>0</v>
      </c>
      <c r="K301" s="182">
        <f t="shared" si="40"/>
        <v>3964531.2</v>
      </c>
      <c r="L301" s="182">
        <f t="shared" si="41"/>
        <v>66562.200000000186</v>
      </c>
      <c r="M301" s="183">
        <f t="shared" si="42"/>
        <v>1.7076123488924663E-2</v>
      </c>
      <c r="N301" s="184">
        <f t="shared" si="43"/>
        <v>-1.2999999999999545</v>
      </c>
      <c r="O301" s="185">
        <f t="shared" si="44"/>
        <v>-2.6920687512941698E-3</v>
      </c>
    </row>
    <row r="302" spans="1:15" x14ac:dyDescent="0.55000000000000004">
      <c r="A302" s="197" t="s">
        <v>295</v>
      </c>
      <c r="B302" s="176">
        <f>INDEX(Data[FY2026 Budget Enrollment],MATCH(A302,Data[Label],0))</f>
        <v>523.29999999999995</v>
      </c>
      <c r="C302" s="177">
        <f>INDEX(Data[FY26 RPDC Per Student],MATCH(A302,Data[Label],0))</f>
        <v>7988</v>
      </c>
      <c r="D302" s="177">
        <f>INDEX(Data[FY2026 RPDC Total],MATCH(A302,Data[Label],0))</f>
        <v>4180120</v>
      </c>
      <c r="E302" s="177">
        <f>INDEX(Data[FY2026 RPDC Budget Guarantee],MATCH(A302,Data[Label],0))</f>
        <v>0</v>
      </c>
      <c r="F302" s="193">
        <f t="shared" si="36"/>
        <v>4180120</v>
      </c>
      <c r="G302" s="176">
        <f>INDEX(Data[FY2027 Budget Enrollment],MATCH(A302,Data[Label],0))</f>
        <v>506.3</v>
      </c>
      <c r="H302" s="177">
        <f t="shared" si="37"/>
        <v>8148</v>
      </c>
      <c r="I302" s="177">
        <f t="shared" si="38"/>
        <v>4125332.4</v>
      </c>
      <c r="J302" s="177">
        <f t="shared" si="39"/>
        <v>96589</v>
      </c>
      <c r="K302" s="177">
        <f t="shared" si="40"/>
        <v>4221921.4000000004</v>
      </c>
      <c r="L302" s="177">
        <f t="shared" si="41"/>
        <v>41801.400000000373</v>
      </c>
      <c r="M302" s="178">
        <f t="shared" si="42"/>
        <v>1.0000047845516486E-2</v>
      </c>
      <c r="N302" s="179">
        <f t="shared" si="43"/>
        <v>-16.999999999999943</v>
      </c>
      <c r="O302" s="180">
        <f t="shared" si="44"/>
        <v>-3.2486145614370236E-2</v>
      </c>
    </row>
    <row r="303" spans="1:15" x14ac:dyDescent="0.55000000000000004">
      <c r="A303" s="198" t="s">
        <v>296</v>
      </c>
      <c r="B303" s="181">
        <f>INDEX(Data[FY2026 Budget Enrollment],MATCH(A303,Data[Label],0))</f>
        <v>586.1</v>
      </c>
      <c r="C303" s="182">
        <f>INDEX(Data[FY26 RPDC Per Student],MATCH(A303,Data[Label],0))</f>
        <v>7994</v>
      </c>
      <c r="D303" s="182">
        <f>INDEX(Data[FY2026 RPDC Total],MATCH(A303,Data[Label],0))</f>
        <v>4685283</v>
      </c>
      <c r="E303" s="182">
        <f>INDEX(Data[FY2026 RPDC Budget Guarantee],MATCH(A303,Data[Label],0))</f>
        <v>379762</v>
      </c>
      <c r="F303" s="194">
        <f t="shared" si="36"/>
        <v>5065045</v>
      </c>
      <c r="G303" s="181">
        <f>INDEX(Data[FY2027 Budget Enrollment],MATCH(A303,Data[Label],0))</f>
        <v>598.1</v>
      </c>
      <c r="H303" s="182">
        <f t="shared" si="37"/>
        <v>8154</v>
      </c>
      <c r="I303" s="182">
        <f t="shared" si="38"/>
        <v>4876907.4000000004</v>
      </c>
      <c r="J303" s="182">
        <f t="shared" si="39"/>
        <v>0</v>
      </c>
      <c r="K303" s="182">
        <f t="shared" si="40"/>
        <v>4876907.4000000004</v>
      </c>
      <c r="L303" s="182">
        <f t="shared" si="41"/>
        <v>-188137.59999999963</v>
      </c>
      <c r="M303" s="183">
        <f t="shared" si="42"/>
        <v>-3.7144309675432224E-2</v>
      </c>
      <c r="N303" s="184">
        <f t="shared" si="43"/>
        <v>12</v>
      </c>
      <c r="O303" s="185">
        <f t="shared" si="44"/>
        <v>2.047432178809077E-2</v>
      </c>
    </row>
    <row r="304" spans="1:15" x14ac:dyDescent="0.55000000000000004">
      <c r="A304" s="197" t="s">
        <v>297</v>
      </c>
      <c r="B304" s="176">
        <f>INDEX(Data[FY2026 Budget Enrollment],MATCH(A304,Data[Label],0))</f>
        <v>1610.1</v>
      </c>
      <c r="C304" s="177">
        <f>INDEX(Data[FY26 RPDC Per Student],MATCH(A304,Data[Label],0))</f>
        <v>7988</v>
      </c>
      <c r="D304" s="177">
        <f>INDEX(Data[FY2026 RPDC Total],MATCH(A304,Data[Label],0))</f>
        <v>12861479</v>
      </c>
      <c r="E304" s="177">
        <f>INDEX(Data[FY2026 RPDC Budget Guarantee],MATCH(A304,Data[Label],0))</f>
        <v>164741</v>
      </c>
      <c r="F304" s="193">
        <f t="shared" si="36"/>
        <v>13026220</v>
      </c>
      <c r="G304" s="176">
        <f>INDEX(Data[FY2027 Budget Enrollment],MATCH(A304,Data[Label],0))</f>
        <v>1577</v>
      </c>
      <c r="H304" s="177">
        <f t="shared" si="37"/>
        <v>8148</v>
      </c>
      <c r="I304" s="177">
        <f t="shared" si="38"/>
        <v>12849396</v>
      </c>
      <c r="J304" s="177">
        <f t="shared" si="39"/>
        <v>140698</v>
      </c>
      <c r="K304" s="177">
        <f t="shared" si="40"/>
        <v>12990094</v>
      </c>
      <c r="L304" s="177">
        <f t="shared" si="41"/>
        <v>-36126</v>
      </c>
      <c r="M304" s="178">
        <f t="shared" si="42"/>
        <v>-2.7733294846855037E-3</v>
      </c>
      <c r="N304" s="179">
        <f t="shared" si="43"/>
        <v>-33.099999999999909</v>
      </c>
      <c r="O304" s="180">
        <f t="shared" si="44"/>
        <v>-2.0557729333581711E-2</v>
      </c>
    </row>
    <row r="305" spans="1:15" x14ac:dyDescent="0.55000000000000004">
      <c r="A305" s="198" t="s">
        <v>298</v>
      </c>
      <c r="B305" s="181">
        <f>INDEX(Data[FY2026 Budget Enrollment],MATCH(A305,Data[Label],0))</f>
        <v>10812.4</v>
      </c>
      <c r="C305" s="182">
        <f>INDEX(Data[FY26 RPDC Per Student],MATCH(A305,Data[Label],0))</f>
        <v>7988</v>
      </c>
      <c r="D305" s="182">
        <f>INDEX(Data[FY2026 RPDC Total],MATCH(A305,Data[Label],0))</f>
        <v>86369451</v>
      </c>
      <c r="E305" s="182">
        <f>INDEX(Data[FY2026 RPDC Budget Guarantee],MATCH(A305,Data[Label],0))</f>
        <v>0</v>
      </c>
      <c r="F305" s="194">
        <f t="shared" si="36"/>
        <v>86369451</v>
      </c>
      <c r="G305" s="181">
        <f>INDEX(Data[FY2027 Budget Enrollment],MATCH(A305,Data[Label],0))</f>
        <v>10524.2</v>
      </c>
      <c r="H305" s="182">
        <f t="shared" si="37"/>
        <v>8148</v>
      </c>
      <c r="I305" s="182">
        <f t="shared" si="38"/>
        <v>85751181.600000009</v>
      </c>
      <c r="J305" s="182">
        <f t="shared" si="39"/>
        <v>1481964</v>
      </c>
      <c r="K305" s="182">
        <f t="shared" si="40"/>
        <v>87233145.600000009</v>
      </c>
      <c r="L305" s="182">
        <f t="shared" si="41"/>
        <v>863694.60000000894</v>
      </c>
      <c r="M305" s="183">
        <f t="shared" si="42"/>
        <v>1.0000001042035208E-2</v>
      </c>
      <c r="N305" s="184">
        <f t="shared" si="43"/>
        <v>-288.19999999999891</v>
      </c>
      <c r="O305" s="185">
        <f t="shared" si="44"/>
        <v>-2.6654581776478756E-2</v>
      </c>
    </row>
    <row r="306" spans="1:15" x14ac:dyDescent="0.55000000000000004">
      <c r="A306" s="197" t="s">
        <v>299</v>
      </c>
      <c r="B306" s="176">
        <f>INDEX(Data[FY2026 Budget Enrollment],MATCH(A306,Data[Label],0))</f>
        <v>14016.7</v>
      </c>
      <c r="C306" s="177">
        <f>INDEX(Data[FY26 RPDC Per Student],MATCH(A306,Data[Label],0))</f>
        <v>7988</v>
      </c>
      <c r="D306" s="177">
        <f>INDEX(Data[FY2026 RPDC Total],MATCH(A306,Data[Label],0))</f>
        <v>111965400</v>
      </c>
      <c r="E306" s="177">
        <f>INDEX(Data[FY2026 RPDC Budget Guarantee],MATCH(A306,Data[Label],0))</f>
        <v>0</v>
      </c>
      <c r="F306" s="193">
        <f t="shared" si="36"/>
        <v>111965400</v>
      </c>
      <c r="G306" s="176">
        <f>INDEX(Data[FY2027 Budget Enrollment],MATCH(A306,Data[Label],0))</f>
        <v>14411.6</v>
      </c>
      <c r="H306" s="177">
        <f t="shared" si="37"/>
        <v>8148</v>
      </c>
      <c r="I306" s="177">
        <f t="shared" si="38"/>
        <v>117425716.8</v>
      </c>
      <c r="J306" s="177">
        <f t="shared" si="39"/>
        <v>0</v>
      </c>
      <c r="K306" s="177">
        <f t="shared" si="40"/>
        <v>117425716.8</v>
      </c>
      <c r="L306" s="177">
        <f t="shared" si="41"/>
        <v>5460316.799999997</v>
      </c>
      <c r="M306" s="178">
        <f t="shared" si="42"/>
        <v>4.8767894367367032E-2</v>
      </c>
      <c r="N306" s="179">
        <f t="shared" si="43"/>
        <v>394.89999999999964</v>
      </c>
      <c r="O306" s="180">
        <f t="shared" si="44"/>
        <v>2.817353585366025E-2</v>
      </c>
    </row>
    <row r="307" spans="1:15" x14ac:dyDescent="0.55000000000000004">
      <c r="A307" s="198" t="s">
        <v>300</v>
      </c>
      <c r="B307" s="181">
        <f>INDEX(Data[FY2026 Budget Enrollment],MATCH(A307,Data[Label],0))</f>
        <v>2167.6</v>
      </c>
      <c r="C307" s="182">
        <f>INDEX(Data[FY26 RPDC Per Student],MATCH(A307,Data[Label],0))</f>
        <v>7988</v>
      </c>
      <c r="D307" s="182">
        <f>INDEX(Data[FY2026 RPDC Total],MATCH(A307,Data[Label],0))</f>
        <v>17314789</v>
      </c>
      <c r="E307" s="182">
        <f>INDEX(Data[FY2026 RPDC Budget Guarantee],MATCH(A307,Data[Label],0))</f>
        <v>0</v>
      </c>
      <c r="F307" s="194">
        <f t="shared" si="36"/>
        <v>17314789</v>
      </c>
      <c r="G307" s="181">
        <f>INDEX(Data[FY2027 Budget Enrollment],MATCH(A307,Data[Label],0))</f>
        <v>2054.9</v>
      </c>
      <c r="H307" s="182">
        <f t="shared" si="37"/>
        <v>8148</v>
      </c>
      <c r="I307" s="182">
        <f t="shared" si="38"/>
        <v>16743325.200000001</v>
      </c>
      <c r="J307" s="182">
        <f t="shared" si="39"/>
        <v>744612</v>
      </c>
      <c r="K307" s="182">
        <f t="shared" si="40"/>
        <v>17487937.200000003</v>
      </c>
      <c r="L307" s="182">
        <f t="shared" si="41"/>
        <v>173148.20000000298</v>
      </c>
      <c r="M307" s="183">
        <f t="shared" si="42"/>
        <v>1.000001790377018E-2</v>
      </c>
      <c r="N307" s="184">
        <f t="shared" si="43"/>
        <v>-112.69999999999982</v>
      </c>
      <c r="O307" s="185">
        <f t="shared" si="44"/>
        <v>-5.1992987636095139E-2</v>
      </c>
    </row>
    <row r="308" spans="1:15" x14ac:dyDescent="0.55000000000000004">
      <c r="A308" s="197" t="s">
        <v>301</v>
      </c>
      <c r="B308" s="176">
        <f>INDEX(Data[FY2026 Budget Enrollment],MATCH(A308,Data[Label],0))</f>
        <v>548.4</v>
      </c>
      <c r="C308" s="177">
        <f>INDEX(Data[FY26 RPDC Per Student],MATCH(A308,Data[Label],0))</f>
        <v>7988</v>
      </c>
      <c r="D308" s="177">
        <f>INDEX(Data[FY2026 RPDC Total],MATCH(A308,Data[Label],0))</f>
        <v>4380619</v>
      </c>
      <c r="E308" s="177">
        <f>INDEX(Data[FY2026 RPDC Budget Guarantee],MATCH(A308,Data[Label],0))</f>
        <v>131133</v>
      </c>
      <c r="F308" s="193">
        <f t="shared" si="36"/>
        <v>4511752</v>
      </c>
      <c r="G308" s="176">
        <f>INDEX(Data[FY2027 Budget Enrollment],MATCH(A308,Data[Label],0))</f>
        <v>577.20000000000005</v>
      </c>
      <c r="H308" s="177">
        <f t="shared" si="37"/>
        <v>8148</v>
      </c>
      <c r="I308" s="177">
        <f t="shared" si="38"/>
        <v>4703025.6000000006</v>
      </c>
      <c r="J308" s="177">
        <f t="shared" si="39"/>
        <v>0</v>
      </c>
      <c r="K308" s="177">
        <f t="shared" si="40"/>
        <v>4703025.6000000006</v>
      </c>
      <c r="L308" s="177">
        <f t="shared" si="41"/>
        <v>191273.60000000056</v>
      </c>
      <c r="M308" s="178">
        <f t="shared" si="42"/>
        <v>4.2394528777291073E-2</v>
      </c>
      <c r="N308" s="179">
        <f t="shared" si="43"/>
        <v>28.800000000000068</v>
      </c>
      <c r="O308" s="180">
        <f t="shared" si="44"/>
        <v>5.2516411378555929E-2</v>
      </c>
    </row>
    <row r="309" spans="1:15" x14ac:dyDescent="0.55000000000000004">
      <c r="A309" s="198" t="s">
        <v>302</v>
      </c>
      <c r="B309" s="181">
        <f>INDEX(Data[FY2026 Budget Enrollment],MATCH(A309,Data[Label],0))</f>
        <v>1745.2</v>
      </c>
      <c r="C309" s="182">
        <f>INDEX(Data[FY26 RPDC Per Student],MATCH(A309,Data[Label],0))</f>
        <v>7988</v>
      </c>
      <c r="D309" s="182">
        <f>INDEX(Data[FY2026 RPDC Total],MATCH(A309,Data[Label],0))</f>
        <v>13940658</v>
      </c>
      <c r="E309" s="182">
        <f>INDEX(Data[FY2026 RPDC Budget Guarantee],MATCH(A309,Data[Label],0))</f>
        <v>0</v>
      </c>
      <c r="F309" s="194">
        <f t="shared" si="36"/>
        <v>13940658</v>
      </c>
      <c r="G309" s="181">
        <f>INDEX(Data[FY2027 Budget Enrollment],MATCH(A309,Data[Label],0))</f>
        <v>1731.4</v>
      </c>
      <c r="H309" s="182">
        <f t="shared" si="37"/>
        <v>8148</v>
      </c>
      <c r="I309" s="182">
        <f t="shared" si="38"/>
        <v>14107447.200000001</v>
      </c>
      <c r="J309" s="182">
        <f t="shared" si="39"/>
        <v>0</v>
      </c>
      <c r="K309" s="182">
        <f t="shared" si="40"/>
        <v>14107447.200000001</v>
      </c>
      <c r="L309" s="182">
        <f t="shared" si="41"/>
        <v>166789.20000000112</v>
      </c>
      <c r="M309" s="183">
        <f t="shared" si="42"/>
        <v>1.196422722657719E-2</v>
      </c>
      <c r="N309" s="184">
        <f t="shared" si="43"/>
        <v>-13.799999999999955</v>
      </c>
      <c r="O309" s="185">
        <f t="shared" si="44"/>
        <v>-7.9074031629612386E-3</v>
      </c>
    </row>
    <row r="310" spans="1:15" x14ac:dyDescent="0.55000000000000004">
      <c r="A310" s="197" t="s">
        <v>303</v>
      </c>
      <c r="B310" s="176">
        <f>INDEX(Data[FY2026 Budget Enrollment],MATCH(A310,Data[Label],0))</f>
        <v>329.2</v>
      </c>
      <c r="C310" s="177">
        <f>INDEX(Data[FY26 RPDC Per Student],MATCH(A310,Data[Label],0))</f>
        <v>8000</v>
      </c>
      <c r="D310" s="177">
        <f>INDEX(Data[FY2026 RPDC Total],MATCH(A310,Data[Label],0))</f>
        <v>2633600</v>
      </c>
      <c r="E310" s="177">
        <f>INDEX(Data[FY2026 RPDC Budget Guarantee],MATCH(A310,Data[Label],0))</f>
        <v>60478</v>
      </c>
      <c r="F310" s="193">
        <f t="shared" si="36"/>
        <v>2694078</v>
      </c>
      <c r="G310" s="176">
        <f>INDEX(Data[FY2027 Budget Enrollment],MATCH(A310,Data[Label],0))</f>
        <v>336.4</v>
      </c>
      <c r="H310" s="177">
        <f t="shared" si="37"/>
        <v>8160</v>
      </c>
      <c r="I310" s="177">
        <f t="shared" si="38"/>
        <v>2745024</v>
      </c>
      <c r="J310" s="177">
        <f t="shared" si="39"/>
        <v>0</v>
      </c>
      <c r="K310" s="177">
        <f t="shared" si="40"/>
        <v>2745024</v>
      </c>
      <c r="L310" s="177">
        <f t="shared" si="41"/>
        <v>50946</v>
      </c>
      <c r="M310" s="178">
        <f t="shared" si="42"/>
        <v>1.8910365624157877E-2</v>
      </c>
      <c r="N310" s="179">
        <f t="shared" si="43"/>
        <v>7.1999999999999886</v>
      </c>
      <c r="O310" s="180">
        <f t="shared" si="44"/>
        <v>2.1871202916160355E-2</v>
      </c>
    </row>
    <row r="311" spans="1:15" x14ac:dyDescent="0.55000000000000004">
      <c r="A311" s="198" t="s">
        <v>304</v>
      </c>
      <c r="B311" s="181">
        <f>INDEX(Data[FY2026 Budget Enrollment],MATCH(A311,Data[Label],0))</f>
        <v>795.9</v>
      </c>
      <c r="C311" s="182">
        <f>INDEX(Data[FY26 RPDC Per Student],MATCH(A311,Data[Label],0))</f>
        <v>7988</v>
      </c>
      <c r="D311" s="182">
        <f>INDEX(Data[FY2026 RPDC Total],MATCH(A311,Data[Label],0))</f>
        <v>6357649</v>
      </c>
      <c r="E311" s="182">
        <f>INDEX(Data[FY2026 RPDC Budget Guarantee],MATCH(A311,Data[Label],0))</f>
        <v>0</v>
      </c>
      <c r="F311" s="194">
        <f t="shared" si="36"/>
        <v>6357649</v>
      </c>
      <c r="G311" s="181">
        <f>INDEX(Data[FY2027 Budget Enrollment],MATCH(A311,Data[Label],0))</f>
        <v>818.2</v>
      </c>
      <c r="H311" s="182">
        <f t="shared" si="37"/>
        <v>8148</v>
      </c>
      <c r="I311" s="182">
        <f t="shared" si="38"/>
        <v>6666693.6000000006</v>
      </c>
      <c r="J311" s="182">
        <f t="shared" si="39"/>
        <v>0</v>
      </c>
      <c r="K311" s="182">
        <f t="shared" si="40"/>
        <v>6666693.6000000006</v>
      </c>
      <c r="L311" s="182">
        <f t="shared" si="41"/>
        <v>309044.60000000056</v>
      </c>
      <c r="M311" s="183">
        <f t="shared" si="42"/>
        <v>4.8609887082473498E-2</v>
      </c>
      <c r="N311" s="184">
        <f t="shared" si="43"/>
        <v>22.300000000000068</v>
      </c>
      <c r="O311" s="185">
        <f t="shared" si="44"/>
        <v>2.8018595300917288E-2</v>
      </c>
    </row>
    <row r="312" spans="1:15" x14ac:dyDescent="0.55000000000000004">
      <c r="A312" s="197" t="s">
        <v>305</v>
      </c>
      <c r="B312" s="176">
        <f>INDEX(Data[FY2026 Budget Enrollment],MATCH(A312,Data[Label],0))</f>
        <v>386</v>
      </c>
      <c r="C312" s="177">
        <f>INDEX(Data[FY26 RPDC Per Student],MATCH(A312,Data[Label],0))</f>
        <v>7988</v>
      </c>
      <c r="D312" s="177">
        <f>INDEX(Data[FY2026 RPDC Total],MATCH(A312,Data[Label],0))</f>
        <v>3083368</v>
      </c>
      <c r="E312" s="177">
        <f>INDEX(Data[FY2026 RPDC Budget Guarantee],MATCH(A312,Data[Label],0))</f>
        <v>0</v>
      </c>
      <c r="F312" s="193">
        <f t="shared" si="36"/>
        <v>3083368</v>
      </c>
      <c r="G312" s="176">
        <f>INDEX(Data[FY2027 Budget Enrollment],MATCH(A312,Data[Label],0))</f>
        <v>395</v>
      </c>
      <c r="H312" s="177">
        <f t="shared" si="37"/>
        <v>8148</v>
      </c>
      <c r="I312" s="177">
        <f t="shared" si="38"/>
        <v>3218460</v>
      </c>
      <c r="J312" s="177">
        <f t="shared" si="39"/>
        <v>0</v>
      </c>
      <c r="K312" s="177">
        <f t="shared" si="40"/>
        <v>3218460</v>
      </c>
      <c r="L312" s="177">
        <f t="shared" si="41"/>
        <v>135092</v>
      </c>
      <c r="M312" s="178">
        <f t="shared" si="42"/>
        <v>4.3813129019954801E-2</v>
      </c>
      <c r="N312" s="179">
        <f t="shared" si="43"/>
        <v>9</v>
      </c>
      <c r="O312" s="180">
        <f t="shared" si="44"/>
        <v>2.3316062176165803E-2</v>
      </c>
    </row>
    <row r="313" spans="1:15" x14ac:dyDescent="0.55000000000000004">
      <c r="A313" s="198" t="s">
        <v>306</v>
      </c>
      <c r="B313" s="181">
        <f>INDEX(Data[FY2026 Budget Enrollment],MATCH(A313,Data[Label],0))</f>
        <v>265.60000000000002</v>
      </c>
      <c r="C313" s="182">
        <f>INDEX(Data[FY26 RPDC Per Student],MATCH(A313,Data[Label],0))</f>
        <v>7988</v>
      </c>
      <c r="D313" s="182">
        <f>INDEX(Data[FY2026 RPDC Total],MATCH(A313,Data[Label],0))</f>
        <v>2121613</v>
      </c>
      <c r="E313" s="182">
        <f>INDEX(Data[FY2026 RPDC Budget Guarantee],MATCH(A313,Data[Label],0))</f>
        <v>0</v>
      </c>
      <c r="F313" s="194">
        <f t="shared" si="36"/>
        <v>2121613</v>
      </c>
      <c r="G313" s="181">
        <f>INDEX(Data[FY2027 Budget Enrollment],MATCH(A313,Data[Label],0))</f>
        <v>250.6</v>
      </c>
      <c r="H313" s="182">
        <f t="shared" si="37"/>
        <v>8148</v>
      </c>
      <c r="I313" s="182">
        <f t="shared" si="38"/>
        <v>2041888.8</v>
      </c>
      <c r="J313" s="182">
        <f t="shared" si="39"/>
        <v>100940</v>
      </c>
      <c r="K313" s="182">
        <f t="shared" si="40"/>
        <v>2142828.7999999998</v>
      </c>
      <c r="L313" s="182">
        <f t="shared" si="41"/>
        <v>21215.799999999814</v>
      </c>
      <c r="M313" s="183">
        <f t="shared" si="42"/>
        <v>9.999844457966563E-3</v>
      </c>
      <c r="N313" s="184">
        <f t="shared" si="43"/>
        <v>-15.000000000000028</v>
      </c>
      <c r="O313" s="185">
        <f t="shared" si="44"/>
        <v>-5.6475903614457937E-2</v>
      </c>
    </row>
    <row r="314" spans="1:15" x14ac:dyDescent="0.55000000000000004">
      <c r="A314" s="197" t="s">
        <v>307</v>
      </c>
      <c r="B314" s="176">
        <f>INDEX(Data[FY2026 Budget Enrollment],MATCH(A314,Data[Label],0))</f>
        <v>954.6</v>
      </c>
      <c r="C314" s="177">
        <f>INDEX(Data[FY26 RPDC Per Student],MATCH(A314,Data[Label],0))</f>
        <v>8014</v>
      </c>
      <c r="D314" s="177">
        <f>INDEX(Data[FY2026 RPDC Total],MATCH(A314,Data[Label],0))</f>
        <v>7650164</v>
      </c>
      <c r="E314" s="177">
        <f>INDEX(Data[FY2026 RPDC Budget Guarantee],MATCH(A314,Data[Label],0))</f>
        <v>0</v>
      </c>
      <c r="F314" s="193">
        <f t="shared" si="36"/>
        <v>7650164</v>
      </c>
      <c r="G314" s="176">
        <f>INDEX(Data[FY2027 Budget Enrollment],MATCH(A314,Data[Label],0))</f>
        <v>938.9</v>
      </c>
      <c r="H314" s="177">
        <f t="shared" si="37"/>
        <v>8174</v>
      </c>
      <c r="I314" s="177">
        <f t="shared" si="38"/>
        <v>7674568.5999999996</v>
      </c>
      <c r="J314" s="177">
        <f t="shared" si="39"/>
        <v>52097</v>
      </c>
      <c r="K314" s="177">
        <f t="shared" si="40"/>
        <v>7726665.5999999996</v>
      </c>
      <c r="L314" s="177">
        <f t="shared" si="41"/>
        <v>76501.599999999627</v>
      </c>
      <c r="M314" s="178">
        <f t="shared" si="42"/>
        <v>9.999994771353873E-3</v>
      </c>
      <c r="N314" s="179">
        <f t="shared" si="43"/>
        <v>-15.700000000000045</v>
      </c>
      <c r="O314" s="180">
        <f t="shared" si="44"/>
        <v>-1.6446679237376961E-2</v>
      </c>
    </row>
    <row r="315" spans="1:15" x14ac:dyDescent="0.55000000000000004">
      <c r="A315" s="198" t="s">
        <v>308</v>
      </c>
      <c r="B315" s="181">
        <f>INDEX(Data[FY2026 Budget Enrollment],MATCH(A315,Data[Label],0))</f>
        <v>1329.3</v>
      </c>
      <c r="C315" s="182">
        <f>INDEX(Data[FY26 RPDC Per Student],MATCH(A315,Data[Label],0))</f>
        <v>7988</v>
      </c>
      <c r="D315" s="182">
        <f>INDEX(Data[FY2026 RPDC Total],MATCH(A315,Data[Label],0))</f>
        <v>10618448</v>
      </c>
      <c r="E315" s="182">
        <f>INDEX(Data[FY2026 RPDC Budget Guarantee],MATCH(A315,Data[Label],0))</f>
        <v>0</v>
      </c>
      <c r="F315" s="194">
        <f t="shared" si="36"/>
        <v>10618448</v>
      </c>
      <c r="G315" s="181">
        <f>INDEX(Data[FY2027 Budget Enrollment],MATCH(A315,Data[Label],0))</f>
        <v>1279.4000000000001</v>
      </c>
      <c r="H315" s="182">
        <f t="shared" si="37"/>
        <v>8148</v>
      </c>
      <c r="I315" s="182">
        <f t="shared" si="38"/>
        <v>10424551.200000001</v>
      </c>
      <c r="J315" s="182">
        <f t="shared" si="39"/>
        <v>300081</v>
      </c>
      <c r="K315" s="182">
        <f t="shared" si="40"/>
        <v>10724632.200000001</v>
      </c>
      <c r="L315" s="182">
        <f t="shared" si="41"/>
        <v>106184.20000000112</v>
      </c>
      <c r="M315" s="183">
        <f t="shared" si="42"/>
        <v>9.9999736307981278E-3</v>
      </c>
      <c r="N315" s="184">
        <f t="shared" si="43"/>
        <v>-49.899999999999864</v>
      </c>
      <c r="O315" s="185">
        <f t="shared" si="44"/>
        <v>-3.7538554126231749E-2</v>
      </c>
    </row>
    <row r="316" spans="1:15" x14ac:dyDescent="0.55000000000000004">
      <c r="A316" s="197" t="s">
        <v>309</v>
      </c>
      <c r="B316" s="176">
        <f>INDEX(Data[FY2026 Budget Enrollment],MATCH(A316,Data[Label],0))</f>
        <v>8525.7999999999993</v>
      </c>
      <c r="C316" s="177">
        <f>INDEX(Data[FY26 RPDC Per Student],MATCH(A316,Data[Label],0))</f>
        <v>7988</v>
      </c>
      <c r="D316" s="177">
        <f>INDEX(Data[FY2026 RPDC Total],MATCH(A316,Data[Label],0))</f>
        <v>68104090</v>
      </c>
      <c r="E316" s="177">
        <f>INDEX(Data[FY2026 RPDC Budget Guarantee],MATCH(A316,Data[Label],0))</f>
        <v>0</v>
      </c>
      <c r="F316" s="193">
        <f t="shared" si="36"/>
        <v>68104090</v>
      </c>
      <c r="G316" s="176">
        <f>INDEX(Data[FY2027 Budget Enrollment],MATCH(A316,Data[Label],0))</f>
        <v>8249.4</v>
      </c>
      <c r="H316" s="177">
        <f t="shared" si="37"/>
        <v>8148</v>
      </c>
      <c r="I316" s="177">
        <f t="shared" si="38"/>
        <v>67216111.200000003</v>
      </c>
      <c r="J316" s="177">
        <f t="shared" si="39"/>
        <v>1569020</v>
      </c>
      <c r="K316" s="177">
        <f t="shared" si="40"/>
        <v>68785131.200000003</v>
      </c>
      <c r="L316" s="177">
        <f t="shared" si="41"/>
        <v>681041.20000000298</v>
      </c>
      <c r="M316" s="178">
        <f t="shared" si="42"/>
        <v>1.0000004405021827E-2</v>
      </c>
      <c r="N316" s="179">
        <f t="shared" si="43"/>
        <v>-276.39999999999964</v>
      </c>
      <c r="O316" s="180">
        <f t="shared" si="44"/>
        <v>-3.2419245114827897E-2</v>
      </c>
    </row>
    <row r="317" spans="1:15" x14ac:dyDescent="0.55000000000000004">
      <c r="A317" s="198" t="s">
        <v>310</v>
      </c>
      <c r="B317" s="181">
        <f>INDEX(Data[FY2026 Budget Enrollment],MATCH(A317,Data[Label],0))</f>
        <v>748.6</v>
      </c>
      <c r="C317" s="182">
        <f>INDEX(Data[FY26 RPDC Per Student],MATCH(A317,Data[Label],0))</f>
        <v>8004</v>
      </c>
      <c r="D317" s="182">
        <f>INDEX(Data[FY2026 RPDC Total],MATCH(A317,Data[Label],0))</f>
        <v>5991794</v>
      </c>
      <c r="E317" s="182">
        <f>INDEX(Data[FY2026 RPDC Budget Guarantee],MATCH(A317,Data[Label],0))</f>
        <v>0</v>
      </c>
      <c r="F317" s="194">
        <f t="shared" si="36"/>
        <v>5991794</v>
      </c>
      <c r="G317" s="181">
        <f>INDEX(Data[FY2027 Budget Enrollment],MATCH(A317,Data[Label],0))</f>
        <v>737.4</v>
      </c>
      <c r="H317" s="182">
        <f t="shared" si="37"/>
        <v>8164</v>
      </c>
      <c r="I317" s="182">
        <f t="shared" si="38"/>
        <v>6020133.5999999996</v>
      </c>
      <c r="J317" s="182">
        <f t="shared" si="39"/>
        <v>31578</v>
      </c>
      <c r="K317" s="182">
        <f t="shared" si="40"/>
        <v>6051711.5999999996</v>
      </c>
      <c r="L317" s="182">
        <f t="shared" si="41"/>
        <v>59917.599999999627</v>
      </c>
      <c r="M317" s="183">
        <f t="shared" si="42"/>
        <v>9.9999432557260192E-3</v>
      </c>
      <c r="N317" s="184">
        <f t="shared" si="43"/>
        <v>-11.200000000000045</v>
      </c>
      <c r="O317" s="185">
        <f t="shared" si="44"/>
        <v>-1.4961261020571794E-2</v>
      </c>
    </row>
    <row r="318" spans="1:15" x14ac:dyDescent="0.55000000000000004">
      <c r="A318" s="197" t="s">
        <v>311</v>
      </c>
      <c r="B318" s="176">
        <f>INDEX(Data[FY2026 Budget Enrollment],MATCH(A318,Data[Label],0))</f>
        <v>587.9</v>
      </c>
      <c r="C318" s="177">
        <f>INDEX(Data[FY26 RPDC Per Student],MATCH(A318,Data[Label],0))</f>
        <v>7988</v>
      </c>
      <c r="D318" s="177">
        <f>INDEX(Data[FY2026 RPDC Total],MATCH(A318,Data[Label],0))</f>
        <v>4696145</v>
      </c>
      <c r="E318" s="177">
        <f>INDEX(Data[FY2026 RPDC Budget Guarantee],MATCH(A318,Data[Label],0))</f>
        <v>0</v>
      </c>
      <c r="F318" s="193">
        <f t="shared" si="36"/>
        <v>4696145</v>
      </c>
      <c r="G318" s="176">
        <f>INDEX(Data[FY2027 Budget Enrollment],MATCH(A318,Data[Label],0))</f>
        <v>598.9</v>
      </c>
      <c r="H318" s="177">
        <f t="shared" si="37"/>
        <v>8148</v>
      </c>
      <c r="I318" s="177">
        <f t="shared" si="38"/>
        <v>4879837.2</v>
      </c>
      <c r="J318" s="177">
        <f t="shared" si="39"/>
        <v>0</v>
      </c>
      <c r="K318" s="177">
        <f t="shared" si="40"/>
        <v>4879837.2</v>
      </c>
      <c r="L318" s="177">
        <f t="shared" si="41"/>
        <v>183692.20000000019</v>
      </c>
      <c r="M318" s="178">
        <f t="shared" si="42"/>
        <v>3.9115529865453511E-2</v>
      </c>
      <c r="N318" s="179">
        <f t="shared" si="43"/>
        <v>11</v>
      </c>
      <c r="O318" s="180">
        <f t="shared" si="44"/>
        <v>1.8710665079095086E-2</v>
      </c>
    </row>
    <row r="319" spans="1:15" x14ac:dyDescent="0.55000000000000004">
      <c r="A319" s="198" t="s">
        <v>312</v>
      </c>
      <c r="B319" s="181">
        <f>INDEX(Data[FY2026 Budget Enrollment],MATCH(A319,Data[Label],0))</f>
        <v>335.1</v>
      </c>
      <c r="C319" s="182">
        <f>INDEX(Data[FY26 RPDC Per Student],MATCH(A319,Data[Label],0))</f>
        <v>8118</v>
      </c>
      <c r="D319" s="182">
        <f>INDEX(Data[FY2026 RPDC Total],MATCH(A319,Data[Label],0))</f>
        <v>2720342</v>
      </c>
      <c r="E319" s="182">
        <f>INDEX(Data[FY2026 RPDC Budget Guarantee],MATCH(A319,Data[Label],0))</f>
        <v>99500</v>
      </c>
      <c r="F319" s="194">
        <f t="shared" si="36"/>
        <v>2819842</v>
      </c>
      <c r="G319" s="181">
        <f>INDEX(Data[FY2027 Budget Enrollment],MATCH(A319,Data[Label],0))</f>
        <v>343</v>
      </c>
      <c r="H319" s="182">
        <f t="shared" si="37"/>
        <v>8278</v>
      </c>
      <c r="I319" s="182">
        <f t="shared" si="38"/>
        <v>2839354</v>
      </c>
      <c r="J319" s="182">
        <f t="shared" si="39"/>
        <v>0</v>
      </c>
      <c r="K319" s="182">
        <f t="shared" si="40"/>
        <v>2839354</v>
      </c>
      <c r="L319" s="182">
        <f t="shared" si="41"/>
        <v>19512</v>
      </c>
      <c r="M319" s="183">
        <f t="shared" si="42"/>
        <v>6.9195366265202094E-3</v>
      </c>
      <c r="N319" s="184">
        <f t="shared" si="43"/>
        <v>7.8999999999999773</v>
      </c>
      <c r="O319" s="185">
        <f t="shared" si="44"/>
        <v>2.3575052223216882E-2</v>
      </c>
    </row>
    <row r="320" spans="1:15" x14ac:dyDescent="0.55000000000000004">
      <c r="A320" s="197" t="s">
        <v>313</v>
      </c>
      <c r="B320" s="176">
        <f>INDEX(Data[FY2026 Budget Enrollment],MATCH(A320,Data[Label],0))</f>
        <v>1236.0999999999999</v>
      </c>
      <c r="C320" s="177">
        <f>INDEX(Data[FY26 RPDC Per Student],MATCH(A320,Data[Label],0))</f>
        <v>7988</v>
      </c>
      <c r="D320" s="177">
        <f>INDEX(Data[FY2026 RPDC Total],MATCH(A320,Data[Label],0))</f>
        <v>9873967</v>
      </c>
      <c r="E320" s="177">
        <f>INDEX(Data[FY2026 RPDC Budget Guarantee],MATCH(A320,Data[Label],0))</f>
        <v>9519</v>
      </c>
      <c r="F320" s="193">
        <f t="shared" si="36"/>
        <v>9883486</v>
      </c>
      <c r="G320" s="176">
        <f>INDEX(Data[FY2027 Budget Enrollment],MATCH(A320,Data[Label],0))</f>
        <v>1237.0999999999999</v>
      </c>
      <c r="H320" s="177">
        <f t="shared" si="37"/>
        <v>8148</v>
      </c>
      <c r="I320" s="177">
        <f t="shared" si="38"/>
        <v>10079890.799999999</v>
      </c>
      <c r="J320" s="177">
        <f t="shared" si="39"/>
        <v>0</v>
      </c>
      <c r="K320" s="177">
        <f t="shared" si="40"/>
        <v>10079890.799999999</v>
      </c>
      <c r="L320" s="177">
        <f t="shared" si="41"/>
        <v>196404.79999999888</v>
      </c>
      <c r="M320" s="178">
        <f t="shared" si="42"/>
        <v>1.9872016816738433E-2</v>
      </c>
      <c r="N320" s="179">
        <f t="shared" si="43"/>
        <v>1</v>
      </c>
      <c r="O320" s="180">
        <f t="shared" si="44"/>
        <v>8.089960359194241E-4</v>
      </c>
    </row>
    <row r="321" spans="1:15" x14ac:dyDescent="0.55000000000000004">
      <c r="A321" s="198" t="s">
        <v>314</v>
      </c>
      <c r="B321" s="181">
        <f>INDEX(Data[FY2026 Budget Enrollment],MATCH(A321,Data[Label],0))</f>
        <v>947.4</v>
      </c>
      <c r="C321" s="182">
        <f>INDEX(Data[FY26 RPDC Per Student],MATCH(A321,Data[Label],0))</f>
        <v>7988</v>
      </c>
      <c r="D321" s="182">
        <f>INDEX(Data[FY2026 RPDC Total],MATCH(A321,Data[Label],0))</f>
        <v>7567831</v>
      </c>
      <c r="E321" s="182">
        <f>INDEX(Data[FY2026 RPDC Budget Guarantee],MATCH(A321,Data[Label],0))</f>
        <v>0</v>
      </c>
      <c r="F321" s="194">
        <f t="shared" si="36"/>
        <v>7567831</v>
      </c>
      <c r="G321" s="181">
        <f>INDEX(Data[FY2027 Budget Enrollment],MATCH(A321,Data[Label],0))</f>
        <v>916.2</v>
      </c>
      <c r="H321" s="182">
        <f t="shared" si="37"/>
        <v>8148</v>
      </c>
      <c r="I321" s="182">
        <f t="shared" si="38"/>
        <v>7465197.6000000006</v>
      </c>
      <c r="J321" s="182">
        <f t="shared" si="39"/>
        <v>178312</v>
      </c>
      <c r="K321" s="182">
        <f t="shared" si="40"/>
        <v>7643509.6000000006</v>
      </c>
      <c r="L321" s="182">
        <f t="shared" si="41"/>
        <v>75678.600000000559</v>
      </c>
      <c r="M321" s="183">
        <f t="shared" si="42"/>
        <v>1.0000038320094695E-2</v>
      </c>
      <c r="N321" s="184">
        <f t="shared" si="43"/>
        <v>-31.199999999999932</v>
      </c>
      <c r="O321" s="185">
        <f t="shared" si="44"/>
        <v>-3.2932235592146857E-2</v>
      </c>
    </row>
    <row r="322" spans="1:15" x14ac:dyDescent="0.55000000000000004">
      <c r="A322" s="197" t="s">
        <v>315</v>
      </c>
      <c r="B322" s="176">
        <f>INDEX(Data[FY2026 Budget Enrollment],MATCH(A322,Data[Label],0))</f>
        <v>729.5</v>
      </c>
      <c r="C322" s="177">
        <f>INDEX(Data[FY26 RPDC Per Student],MATCH(A322,Data[Label],0))</f>
        <v>7988</v>
      </c>
      <c r="D322" s="177">
        <f>INDEX(Data[FY2026 RPDC Total],MATCH(A322,Data[Label],0))</f>
        <v>5827246</v>
      </c>
      <c r="E322" s="177">
        <f>INDEX(Data[FY2026 RPDC Budget Guarantee],MATCH(A322,Data[Label],0))</f>
        <v>161022</v>
      </c>
      <c r="F322" s="193">
        <f t="shared" si="36"/>
        <v>5988268</v>
      </c>
      <c r="G322" s="176">
        <f>INDEX(Data[FY2027 Budget Enrollment],MATCH(A322,Data[Label],0))</f>
        <v>706.9</v>
      </c>
      <c r="H322" s="177">
        <f t="shared" si="37"/>
        <v>8148</v>
      </c>
      <c r="I322" s="177">
        <f t="shared" si="38"/>
        <v>5759821.2000000002</v>
      </c>
      <c r="J322" s="177">
        <f t="shared" si="39"/>
        <v>125697</v>
      </c>
      <c r="K322" s="177">
        <f t="shared" si="40"/>
        <v>5885518.2000000002</v>
      </c>
      <c r="L322" s="177">
        <f t="shared" si="41"/>
        <v>-102749.79999999981</v>
      </c>
      <c r="M322" s="178">
        <f t="shared" si="42"/>
        <v>-1.7158517287469401E-2</v>
      </c>
      <c r="N322" s="179">
        <f t="shared" si="43"/>
        <v>-22.600000000000023</v>
      </c>
      <c r="O322" s="180">
        <f t="shared" si="44"/>
        <v>-3.0980123372172753E-2</v>
      </c>
    </row>
    <row r="323" spans="1:15" x14ac:dyDescent="0.55000000000000004">
      <c r="A323" s="198" t="s">
        <v>316</v>
      </c>
      <c r="B323" s="181">
        <f>INDEX(Data[FY2026 Budget Enrollment],MATCH(A323,Data[Label],0))</f>
        <v>571.9</v>
      </c>
      <c r="C323" s="182">
        <f>INDEX(Data[FY26 RPDC Per Student],MATCH(A323,Data[Label],0))</f>
        <v>7988</v>
      </c>
      <c r="D323" s="182">
        <f>INDEX(Data[FY2026 RPDC Total],MATCH(A323,Data[Label],0))</f>
        <v>4568337</v>
      </c>
      <c r="E323" s="182">
        <f>INDEX(Data[FY2026 RPDC Budget Guarantee],MATCH(A323,Data[Label],0))</f>
        <v>6649</v>
      </c>
      <c r="F323" s="194">
        <f t="shared" si="36"/>
        <v>4574986</v>
      </c>
      <c r="G323" s="181">
        <f>INDEX(Data[FY2027 Budget Enrollment],MATCH(A323,Data[Label],0))</f>
        <v>566.20000000000005</v>
      </c>
      <c r="H323" s="182">
        <f t="shared" si="37"/>
        <v>8148</v>
      </c>
      <c r="I323" s="182">
        <f t="shared" si="38"/>
        <v>4613397.6000000006</v>
      </c>
      <c r="J323" s="182">
        <f t="shared" si="39"/>
        <v>623</v>
      </c>
      <c r="K323" s="182">
        <f t="shared" si="40"/>
        <v>4614020.6000000006</v>
      </c>
      <c r="L323" s="182">
        <f t="shared" si="41"/>
        <v>39034.600000000559</v>
      </c>
      <c r="M323" s="183">
        <f t="shared" si="42"/>
        <v>8.5321791148651738E-3</v>
      </c>
      <c r="N323" s="184">
        <f t="shared" si="43"/>
        <v>-5.6999999999999318</v>
      </c>
      <c r="O323" s="185">
        <f t="shared" si="44"/>
        <v>-9.9667774086377552E-3</v>
      </c>
    </row>
    <row r="324" spans="1:15" x14ac:dyDescent="0.55000000000000004">
      <c r="A324" s="197" t="s">
        <v>317</v>
      </c>
      <c r="B324" s="176">
        <f>INDEX(Data[FY2026 Budget Enrollment],MATCH(A324,Data[Label],0))</f>
        <v>733.1</v>
      </c>
      <c r="C324" s="177">
        <f>INDEX(Data[FY26 RPDC Per Student],MATCH(A324,Data[Label],0))</f>
        <v>7988</v>
      </c>
      <c r="D324" s="177">
        <f>INDEX(Data[FY2026 RPDC Total],MATCH(A324,Data[Label],0))</f>
        <v>5856003</v>
      </c>
      <c r="E324" s="177">
        <f>INDEX(Data[FY2026 RPDC Budget Guarantee],MATCH(A324,Data[Label],0))</f>
        <v>129893</v>
      </c>
      <c r="F324" s="193">
        <f t="shared" si="36"/>
        <v>5985896</v>
      </c>
      <c r="G324" s="176">
        <f>INDEX(Data[FY2027 Budget Enrollment],MATCH(A324,Data[Label],0))</f>
        <v>714.5</v>
      </c>
      <c r="H324" s="177">
        <f t="shared" si="37"/>
        <v>8148</v>
      </c>
      <c r="I324" s="177">
        <f t="shared" si="38"/>
        <v>5821746</v>
      </c>
      <c r="J324" s="177">
        <f t="shared" si="39"/>
        <v>92817</v>
      </c>
      <c r="K324" s="177">
        <f t="shared" si="40"/>
        <v>5914563</v>
      </c>
      <c r="L324" s="177">
        <f t="shared" si="41"/>
        <v>-71333</v>
      </c>
      <c r="M324" s="178">
        <f t="shared" si="42"/>
        <v>-1.1916845865681595E-2</v>
      </c>
      <c r="N324" s="179">
        <f t="shared" si="43"/>
        <v>-18.600000000000023</v>
      </c>
      <c r="O324" s="180">
        <f t="shared" si="44"/>
        <v>-2.5371709180193727E-2</v>
      </c>
    </row>
    <row r="325" spans="1:15" x14ac:dyDescent="0.55000000000000004">
      <c r="A325" s="198" t="s">
        <v>318</v>
      </c>
      <c r="B325" s="181">
        <f>INDEX(Data[FY2026 Budget Enrollment],MATCH(A325,Data[Label],0))</f>
        <v>3184.6</v>
      </c>
      <c r="C325" s="182">
        <f>INDEX(Data[FY26 RPDC Per Student],MATCH(A325,Data[Label],0))</f>
        <v>8003</v>
      </c>
      <c r="D325" s="182">
        <f>INDEX(Data[FY2026 RPDC Total],MATCH(A325,Data[Label],0))</f>
        <v>25486354</v>
      </c>
      <c r="E325" s="182">
        <f>INDEX(Data[FY2026 RPDC Budget Guarantee],MATCH(A325,Data[Label],0))</f>
        <v>0</v>
      </c>
      <c r="F325" s="194">
        <f t="shared" si="36"/>
        <v>25486354</v>
      </c>
      <c r="G325" s="181">
        <f>INDEX(Data[FY2027 Budget Enrollment],MATCH(A325,Data[Label],0))</f>
        <v>3125</v>
      </c>
      <c r="H325" s="182">
        <f t="shared" si="37"/>
        <v>8163</v>
      </c>
      <c r="I325" s="182">
        <f t="shared" si="38"/>
        <v>25509375</v>
      </c>
      <c r="J325" s="182">
        <f t="shared" si="39"/>
        <v>231843</v>
      </c>
      <c r="K325" s="182">
        <f t="shared" si="40"/>
        <v>25741218</v>
      </c>
      <c r="L325" s="182">
        <f t="shared" si="41"/>
        <v>254864</v>
      </c>
      <c r="M325" s="183">
        <f t="shared" si="42"/>
        <v>1.0000018048874312E-2</v>
      </c>
      <c r="N325" s="184">
        <f t="shared" si="43"/>
        <v>-59.599999999999909</v>
      </c>
      <c r="O325" s="185">
        <f t="shared" si="44"/>
        <v>-1.8715066256358697E-2</v>
      </c>
    </row>
    <row r="326" spans="1:15" x14ac:dyDescent="0.55000000000000004">
      <c r="A326" s="197" t="s">
        <v>319</v>
      </c>
      <c r="B326" s="176">
        <f>INDEX(Data[FY2026 Budget Enrollment],MATCH(A326,Data[Label],0))</f>
        <v>498.9</v>
      </c>
      <c r="C326" s="177">
        <f>INDEX(Data[FY26 RPDC Per Student],MATCH(A326,Data[Label],0))</f>
        <v>7988</v>
      </c>
      <c r="D326" s="177">
        <f>INDEX(Data[FY2026 RPDC Total],MATCH(A326,Data[Label],0))</f>
        <v>3985213</v>
      </c>
      <c r="E326" s="177">
        <f>INDEX(Data[FY2026 RPDC Budget Guarantee],MATCH(A326,Data[Label],0))</f>
        <v>226967</v>
      </c>
      <c r="F326" s="193">
        <f t="shared" si="36"/>
        <v>4212180</v>
      </c>
      <c r="G326" s="176">
        <f>INDEX(Data[FY2027 Budget Enrollment],MATCH(A326,Data[Label],0))</f>
        <v>489.5</v>
      </c>
      <c r="H326" s="177">
        <f t="shared" si="37"/>
        <v>8148</v>
      </c>
      <c r="I326" s="177">
        <f t="shared" si="38"/>
        <v>3988446</v>
      </c>
      <c r="J326" s="177">
        <f t="shared" si="39"/>
        <v>36619</v>
      </c>
      <c r="K326" s="177">
        <f t="shared" si="40"/>
        <v>4025065</v>
      </c>
      <c r="L326" s="177">
        <f t="shared" si="41"/>
        <v>-187115</v>
      </c>
      <c r="M326" s="178">
        <f t="shared" si="42"/>
        <v>-4.4422365615904354E-2</v>
      </c>
      <c r="N326" s="179">
        <f t="shared" si="43"/>
        <v>-9.3999999999999773</v>
      </c>
      <c r="O326" s="180">
        <f t="shared" si="44"/>
        <v>-1.8841451192623728E-2</v>
      </c>
    </row>
    <row r="327" spans="1:15" x14ac:dyDescent="0.55000000000000004">
      <c r="A327" s="198" t="s">
        <v>320</v>
      </c>
      <c r="B327" s="181">
        <f>INDEX(Data[FY2026 Budget Enrollment],MATCH(A327,Data[Label],0))</f>
        <v>171.7</v>
      </c>
      <c r="C327" s="182">
        <f>INDEX(Data[FY26 RPDC Per Student],MATCH(A327,Data[Label],0))</f>
        <v>7988</v>
      </c>
      <c r="D327" s="182">
        <f>INDEX(Data[FY2026 RPDC Total],MATCH(A327,Data[Label],0))</f>
        <v>1371540</v>
      </c>
      <c r="E327" s="182">
        <f>INDEX(Data[FY2026 RPDC Budget Guarantee],MATCH(A327,Data[Label],0))</f>
        <v>151611</v>
      </c>
      <c r="F327" s="194">
        <f t="shared" si="36"/>
        <v>1523151</v>
      </c>
      <c r="G327" s="181">
        <f>INDEX(Data[FY2027 Budget Enrollment],MATCH(A327,Data[Label],0))</f>
        <v>157.4</v>
      </c>
      <c r="H327" s="182">
        <f t="shared" si="37"/>
        <v>8148</v>
      </c>
      <c r="I327" s="182">
        <f t="shared" si="38"/>
        <v>1282495.2</v>
      </c>
      <c r="J327" s="182">
        <f t="shared" si="39"/>
        <v>102760</v>
      </c>
      <c r="K327" s="182">
        <f t="shared" si="40"/>
        <v>1385255.2</v>
      </c>
      <c r="L327" s="182">
        <f t="shared" si="41"/>
        <v>-137895.80000000005</v>
      </c>
      <c r="M327" s="183">
        <f t="shared" si="42"/>
        <v>-9.0533243256906273E-2</v>
      </c>
      <c r="N327" s="184">
        <f t="shared" si="43"/>
        <v>-14.299999999999983</v>
      </c>
      <c r="O327" s="185">
        <f t="shared" si="44"/>
        <v>-8.3284799068142013E-2</v>
      </c>
    </row>
    <row r="328" spans="1:15" x14ac:dyDescent="0.55000000000000004">
      <c r="A328" s="197" t="s">
        <v>321</v>
      </c>
      <c r="B328" s="176">
        <f>INDEX(Data[FY2026 Budget Enrollment],MATCH(A328,Data[Label],0))</f>
        <v>1104.5</v>
      </c>
      <c r="C328" s="177">
        <f>INDEX(Data[FY26 RPDC Per Student],MATCH(A328,Data[Label],0))</f>
        <v>7988</v>
      </c>
      <c r="D328" s="177">
        <f>INDEX(Data[FY2026 RPDC Total],MATCH(A328,Data[Label],0))</f>
        <v>8822746</v>
      </c>
      <c r="E328" s="177">
        <f>INDEX(Data[FY2026 RPDC Budget Guarantee],MATCH(A328,Data[Label],0))</f>
        <v>275057</v>
      </c>
      <c r="F328" s="193">
        <f t="shared" si="36"/>
        <v>9097803</v>
      </c>
      <c r="G328" s="176">
        <f>INDEX(Data[FY2027 Budget Enrollment],MATCH(A328,Data[Label],0))</f>
        <v>1101.8</v>
      </c>
      <c r="H328" s="177">
        <f t="shared" si="37"/>
        <v>8148</v>
      </c>
      <c r="I328" s="177">
        <f t="shared" si="38"/>
        <v>8977466.4000000004</v>
      </c>
      <c r="J328" s="177">
        <f t="shared" si="39"/>
        <v>0</v>
      </c>
      <c r="K328" s="177">
        <f t="shared" si="40"/>
        <v>8977466.4000000004</v>
      </c>
      <c r="L328" s="177">
        <f t="shared" si="41"/>
        <v>-120336.59999999963</v>
      </c>
      <c r="M328" s="178">
        <f t="shared" si="42"/>
        <v>-1.3226995572447504E-2</v>
      </c>
      <c r="N328" s="179">
        <f t="shared" si="43"/>
        <v>-2.7000000000000455</v>
      </c>
      <c r="O328" s="180">
        <f t="shared" si="44"/>
        <v>-2.4445450430059263E-3</v>
      </c>
    </row>
    <row r="329" spans="1:15" x14ac:dyDescent="0.55000000000000004">
      <c r="A329" s="198" t="s">
        <v>322</v>
      </c>
      <c r="B329" s="181">
        <f>INDEX(Data[FY2026 Budget Enrollment],MATCH(A329,Data[Label],0))</f>
        <v>815.4</v>
      </c>
      <c r="C329" s="182">
        <f>INDEX(Data[FY26 RPDC Per Student],MATCH(A329,Data[Label],0))</f>
        <v>7988</v>
      </c>
      <c r="D329" s="182">
        <f>INDEX(Data[FY2026 RPDC Total],MATCH(A329,Data[Label],0))</f>
        <v>6513415</v>
      </c>
      <c r="E329" s="182">
        <f>INDEX(Data[FY2026 RPDC Budget Guarantee],MATCH(A329,Data[Label],0))</f>
        <v>217062</v>
      </c>
      <c r="F329" s="194">
        <f t="shared" si="36"/>
        <v>6730477</v>
      </c>
      <c r="G329" s="181">
        <f>INDEX(Data[FY2027 Budget Enrollment],MATCH(A329,Data[Label],0))</f>
        <v>774.2</v>
      </c>
      <c r="H329" s="182">
        <f t="shared" si="37"/>
        <v>8148</v>
      </c>
      <c r="I329" s="182">
        <f t="shared" si="38"/>
        <v>6308181.6000000006</v>
      </c>
      <c r="J329" s="182">
        <f t="shared" si="39"/>
        <v>270368</v>
      </c>
      <c r="K329" s="182">
        <f t="shared" si="40"/>
        <v>6578549.6000000006</v>
      </c>
      <c r="L329" s="182">
        <f t="shared" si="41"/>
        <v>-151927.39999999944</v>
      </c>
      <c r="M329" s="183">
        <f t="shared" si="42"/>
        <v>-2.2573050914519052E-2</v>
      </c>
      <c r="N329" s="184">
        <f t="shared" si="43"/>
        <v>-41.199999999999932</v>
      </c>
      <c r="O329" s="185">
        <f t="shared" si="44"/>
        <v>-5.0527348540593493E-2</v>
      </c>
    </row>
    <row r="330" spans="1:15" x14ac:dyDescent="0.55000000000000004">
      <c r="A330" s="197" t="s">
        <v>323</v>
      </c>
      <c r="B330" s="176">
        <f>INDEX(Data[FY2026 Budget Enrollment],MATCH(A330,Data[Label],0))</f>
        <v>302.60000000000002</v>
      </c>
      <c r="C330" s="177">
        <f>INDEX(Data[FY26 RPDC Per Student],MATCH(A330,Data[Label],0))</f>
        <v>7988</v>
      </c>
      <c r="D330" s="177">
        <f>INDEX(Data[FY2026 RPDC Total],MATCH(A330,Data[Label],0))</f>
        <v>2417169</v>
      </c>
      <c r="E330" s="177">
        <f>INDEX(Data[FY2026 RPDC Budget Guarantee],MATCH(A330,Data[Label],0))</f>
        <v>85320</v>
      </c>
      <c r="F330" s="193">
        <f t="shared" si="36"/>
        <v>2502489</v>
      </c>
      <c r="G330" s="176">
        <f>INDEX(Data[FY2027 Budget Enrollment],MATCH(A330,Data[Label],0))</f>
        <v>305.2</v>
      </c>
      <c r="H330" s="177">
        <f t="shared" si="37"/>
        <v>8148</v>
      </c>
      <c r="I330" s="177">
        <f t="shared" si="38"/>
        <v>2486769.6</v>
      </c>
      <c r="J330" s="177">
        <f t="shared" si="39"/>
        <v>0</v>
      </c>
      <c r="K330" s="177">
        <f t="shared" si="40"/>
        <v>2486769.6</v>
      </c>
      <c r="L330" s="177">
        <f t="shared" si="41"/>
        <v>-15719.399999999907</v>
      </c>
      <c r="M330" s="178">
        <f t="shared" si="42"/>
        <v>-6.2815061324944512E-3</v>
      </c>
      <c r="N330" s="179">
        <f t="shared" si="43"/>
        <v>2.5999999999999659</v>
      </c>
      <c r="O330" s="180">
        <f t="shared" si="44"/>
        <v>8.592200925313832E-3</v>
      </c>
    </row>
    <row r="331" spans="1:15" x14ac:dyDescent="0.55000000000000004">
      <c r="A331" s="198" t="s">
        <v>324</v>
      </c>
      <c r="B331" s="181">
        <f>INDEX(Data[FY2026 Budget Enrollment],MATCH(A331,Data[Label],0))</f>
        <v>1645.8</v>
      </c>
      <c r="C331" s="182">
        <f>INDEX(Data[FY26 RPDC Per Student],MATCH(A331,Data[Label],0))</f>
        <v>7988</v>
      </c>
      <c r="D331" s="182">
        <f>INDEX(Data[FY2026 RPDC Total],MATCH(A331,Data[Label],0))</f>
        <v>13146650</v>
      </c>
      <c r="E331" s="182">
        <f>INDEX(Data[FY2026 RPDC Budget Guarantee],MATCH(A331,Data[Label],0))</f>
        <v>36075</v>
      </c>
      <c r="F331" s="194">
        <f t="shared" ref="F331:F334" si="45">D331+E331</f>
        <v>13182725</v>
      </c>
      <c r="G331" s="181">
        <f>INDEX(Data[FY2027 Budget Enrollment],MATCH(A331,Data[Label],0))</f>
        <v>1630.6</v>
      </c>
      <c r="H331" s="182">
        <f t="shared" ref="H331:H334" si="46">MAX(7988+ROUND(7988*$B$6,0)+$E$6,C331+ROUND(7988*$B$6,0))</f>
        <v>8148</v>
      </c>
      <c r="I331" s="182">
        <f t="shared" ref="I331:I334" si="47">G331*H331</f>
        <v>13286128.799999999</v>
      </c>
      <c r="J331" s="182">
        <f t="shared" ref="J331:J334" si="48">ROUND(MAX((D331*1.01)-I331,0),0)</f>
        <v>0</v>
      </c>
      <c r="K331" s="182">
        <f t="shared" ref="K331:K334" si="49">I331+J331</f>
        <v>13286128.799999999</v>
      </c>
      <c r="L331" s="182">
        <f t="shared" ref="L331:L334" si="50">K331-F331</f>
        <v>103403.79999999888</v>
      </c>
      <c r="M331" s="183">
        <f t="shared" ref="M331:M334" si="51">L331/F331</f>
        <v>7.8438866015940467E-3</v>
      </c>
      <c r="N331" s="184">
        <f t="shared" ref="N331:N334" si="52">G331-B331</f>
        <v>-15.200000000000045</v>
      </c>
      <c r="O331" s="185">
        <f t="shared" ref="O331:O334" si="53">N331/B331</f>
        <v>-9.2356300887106845E-3</v>
      </c>
    </row>
    <row r="332" spans="1:15" x14ac:dyDescent="0.55000000000000004">
      <c r="A332" s="197" t="s">
        <v>325</v>
      </c>
      <c r="B332" s="176">
        <f>INDEX(Data[FY2026 Budget Enrollment],MATCH(A332,Data[Label],0))</f>
        <v>512.5</v>
      </c>
      <c r="C332" s="177">
        <f>INDEX(Data[FY26 RPDC Per Student],MATCH(A332,Data[Label],0))</f>
        <v>7988</v>
      </c>
      <c r="D332" s="177">
        <f>INDEX(Data[FY2026 RPDC Total],MATCH(A332,Data[Label],0))</f>
        <v>4093850</v>
      </c>
      <c r="E332" s="177">
        <f>INDEX(Data[FY2026 RPDC Budget Guarantee],MATCH(A332,Data[Label],0))</f>
        <v>0</v>
      </c>
      <c r="F332" s="193">
        <f t="shared" si="45"/>
        <v>4093850</v>
      </c>
      <c r="G332" s="176">
        <f>INDEX(Data[FY2027 Budget Enrollment],MATCH(A332,Data[Label],0))</f>
        <v>532.5</v>
      </c>
      <c r="H332" s="177">
        <f t="shared" si="46"/>
        <v>8148</v>
      </c>
      <c r="I332" s="177">
        <f t="shared" si="47"/>
        <v>4338810</v>
      </c>
      <c r="J332" s="177">
        <f t="shared" si="48"/>
        <v>0</v>
      </c>
      <c r="K332" s="177">
        <f t="shared" si="49"/>
        <v>4338810</v>
      </c>
      <c r="L332" s="177">
        <f t="shared" si="50"/>
        <v>244960</v>
      </c>
      <c r="M332" s="178">
        <f t="shared" si="51"/>
        <v>5.9836095606824874E-2</v>
      </c>
      <c r="N332" s="179">
        <f t="shared" si="52"/>
        <v>20</v>
      </c>
      <c r="O332" s="180">
        <f t="shared" si="53"/>
        <v>3.9024390243902439E-2</v>
      </c>
    </row>
    <row r="333" spans="1:15" x14ac:dyDescent="0.55000000000000004">
      <c r="A333" s="198" t="s">
        <v>326</v>
      </c>
      <c r="B333" s="181">
        <f>INDEX(Data[FY2026 Budget Enrollment],MATCH(A333,Data[Label],0))</f>
        <v>515.9</v>
      </c>
      <c r="C333" s="182">
        <f>INDEX(Data[FY26 RPDC Per Student],MATCH(A333,Data[Label],0))</f>
        <v>7988</v>
      </c>
      <c r="D333" s="182">
        <f>INDEX(Data[FY2026 RPDC Total],MATCH(A333,Data[Label],0))</f>
        <v>4121009</v>
      </c>
      <c r="E333" s="182">
        <f>INDEX(Data[FY2026 RPDC Budget Guarantee],MATCH(A333,Data[Label],0))</f>
        <v>0</v>
      </c>
      <c r="F333" s="194">
        <f t="shared" si="45"/>
        <v>4121009</v>
      </c>
      <c r="G333" s="181">
        <f>INDEX(Data[FY2027 Budget Enrollment],MATCH(A333,Data[Label],0))</f>
        <v>517.6</v>
      </c>
      <c r="H333" s="182">
        <f t="shared" si="46"/>
        <v>8148</v>
      </c>
      <c r="I333" s="182">
        <f t="shared" si="47"/>
        <v>4217404.8</v>
      </c>
      <c r="J333" s="182">
        <f t="shared" si="48"/>
        <v>0</v>
      </c>
      <c r="K333" s="182">
        <f t="shared" si="49"/>
        <v>4217404.8</v>
      </c>
      <c r="L333" s="182">
        <f t="shared" si="50"/>
        <v>96395.799999999814</v>
      </c>
      <c r="M333" s="183">
        <f t="shared" si="51"/>
        <v>2.3391310234944843E-2</v>
      </c>
      <c r="N333" s="184">
        <f t="shared" si="52"/>
        <v>1.7000000000000455</v>
      </c>
      <c r="O333" s="185">
        <f t="shared" si="53"/>
        <v>3.2952122504362191E-3</v>
      </c>
    </row>
    <row r="334" spans="1:15" ht="14.7" thickBot="1" x14ac:dyDescent="0.6">
      <c r="A334" s="199" t="s">
        <v>327</v>
      </c>
      <c r="B334" s="186">
        <f>INDEX(Data[FY2026 Budget Enrollment],MATCH(A334,Data[Label],0))</f>
        <v>1106.4000000000001</v>
      </c>
      <c r="C334" s="187">
        <f>INDEX(Data[FY26 RPDC Per Student],MATCH(A334,Data[Label],0))</f>
        <v>8040</v>
      </c>
      <c r="D334" s="187">
        <f>INDEX(Data[FY2026 RPDC Total],MATCH(A334,Data[Label],0))</f>
        <v>8895456</v>
      </c>
      <c r="E334" s="187">
        <f>INDEX(Data[FY2026 RPDC Budget Guarantee],MATCH(A334,Data[Label],0))</f>
        <v>0</v>
      </c>
      <c r="F334" s="195">
        <f t="shared" si="45"/>
        <v>8895456</v>
      </c>
      <c r="G334" s="186">
        <f>INDEX(Data[FY2027 Budget Enrollment],MATCH(A334,Data[Label],0))</f>
        <v>1114.3</v>
      </c>
      <c r="H334" s="187">
        <f t="shared" si="46"/>
        <v>8200</v>
      </c>
      <c r="I334" s="187">
        <f t="shared" si="47"/>
        <v>9137260</v>
      </c>
      <c r="J334" s="187">
        <f t="shared" si="48"/>
        <v>0</v>
      </c>
      <c r="K334" s="187">
        <f t="shared" si="49"/>
        <v>9137260</v>
      </c>
      <c r="L334" s="187">
        <f t="shared" si="50"/>
        <v>241804</v>
      </c>
      <c r="M334" s="188">
        <f t="shared" si="51"/>
        <v>2.7182867297640502E-2</v>
      </c>
      <c r="N334" s="189">
        <f t="shared" si="52"/>
        <v>7.8999999999998636</v>
      </c>
      <c r="O334" s="190">
        <f t="shared" si="53"/>
        <v>7.1402747650034914E-3</v>
      </c>
    </row>
    <row r="335" spans="1:15" ht="14.7" thickBot="1" x14ac:dyDescent="0.6">
      <c r="B335" s="172"/>
      <c r="G335" s="172"/>
    </row>
    <row r="336" spans="1:15" x14ac:dyDescent="0.55000000000000004">
      <c r="A336" s="204" t="s">
        <v>424</v>
      </c>
      <c r="B336" s="205">
        <f>MIN(B10:B334)</f>
        <v>90</v>
      </c>
      <c r="C336" s="206">
        <f t="shared" ref="C336:O336" si="54">MIN(C10:C334)</f>
        <v>7988</v>
      </c>
      <c r="D336" s="206">
        <f t="shared" si="54"/>
        <v>718920</v>
      </c>
      <c r="E336" s="206">
        <f t="shared" si="54"/>
        <v>0</v>
      </c>
      <c r="F336" s="207">
        <f t="shared" si="54"/>
        <v>718920</v>
      </c>
      <c r="G336" s="205">
        <f t="shared" si="54"/>
        <v>97</v>
      </c>
      <c r="H336" s="206">
        <f t="shared" si="54"/>
        <v>8148</v>
      </c>
      <c r="I336" s="206">
        <f t="shared" si="54"/>
        <v>790356</v>
      </c>
      <c r="J336" s="206">
        <f t="shared" si="54"/>
        <v>0</v>
      </c>
      <c r="K336" s="206">
        <f t="shared" si="54"/>
        <v>790356</v>
      </c>
      <c r="L336" s="206">
        <f t="shared" si="54"/>
        <v>-528835.79999999888</v>
      </c>
      <c r="M336" s="208">
        <f t="shared" si="54"/>
        <v>-0.14682116976506512</v>
      </c>
      <c r="N336" s="209">
        <f t="shared" si="54"/>
        <v>-676.59999999999854</v>
      </c>
      <c r="O336" s="210">
        <f t="shared" si="54"/>
        <v>-0.27007299270072993</v>
      </c>
    </row>
    <row r="337" spans="1:15" x14ac:dyDescent="0.55000000000000004">
      <c r="A337" s="198" t="s">
        <v>425</v>
      </c>
      <c r="B337" s="181">
        <f>MAX(B10:B334)</f>
        <v>30836.3</v>
      </c>
      <c r="C337" s="182">
        <f t="shared" ref="C337:O337" si="55">MAX(C10:C334)</f>
        <v>8123</v>
      </c>
      <c r="D337" s="182">
        <f t="shared" si="55"/>
        <v>247183781</v>
      </c>
      <c r="E337" s="182">
        <f t="shared" si="55"/>
        <v>720583</v>
      </c>
      <c r="F337" s="194">
        <f t="shared" si="55"/>
        <v>247183781</v>
      </c>
      <c r="G337" s="181">
        <f t="shared" si="55"/>
        <v>30159.7</v>
      </c>
      <c r="H337" s="182">
        <f t="shared" si="55"/>
        <v>8283</v>
      </c>
      <c r="I337" s="182">
        <f t="shared" si="55"/>
        <v>246585707.20000002</v>
      </c>
      <c r="J337" s="182">
        <f t="shared" si="55"/>
        <v>3069912</v>
      </c>
      <c r="K337" s="182">
        <f t="shared" si="55"/>
        <v>249655619.20000002</v>
      </c>
      <c r="L337" s="182">
        <f t="shared" si="55"/>
        <v>5460316.799999997</v>
      </c>
      <c r="M337" s="183">
        <f t="shared" si="55"/>
        <v>0.14576615436931248</v>
      </c>
      <c r="N337" s="184">
        <f t="shared" si="55"/>
        <v>394.89999999999964</v>
      </c>
      <c r="O337" s="185">
        <f t="shared" si="55"/>
        <v>0.12350746268656725</v>
      </c>
    </row>
    <row r="338" spans="1:15" x14ac:dyDescent="0.55000000000000004">
      <c r="A338" s="197" t="s">
        <v>426</v>
      </c>
      <c r="B338" s="176">
        <f>AVERAGE(B10:B334)</f>
        <v>1478.9704615384617</v>
      </c>
      <c r="C338" s="177">
        <f t="shared" ref="C338:O338" si="56">AVERAGE(C10:C334)</f>
        <v>8002.1138461538458</v>
      </c>
      <c r="D338" s="177">
        <f t="shared" si="56"/>
        <v>11827583.843076924</v>
      </c>
      <c r="E338" s="177">
        <f t="shared" si="56"/>
        <v>74810.532307692309</v>
      </c>
      <c r="F338" s="193">
        <f t="shared" si="56"/>
        <v>11902394.375384616</v>
      </c>
      <c r="G338" s="176">
        <f t="shared" si="56"/>
        <v>1456.3981538461542</v>
      </c>
      <c r="H338" s="177">
        <f t="shared" si="56"/>
        <v>8162.1138461538458</v>
      </c>
      <c r="I338" s="177">
        <f t="shared" si="56"/>
        <v>11880096.520307695</v>
      </c>
      <c r="J338" s="177">
        <f t="shared" si="56"/>
        <v>129909.79076923076</v>
      </c>
      <c r="K338" s="177">
        <f t="shared" si="56"/>
        <v>12010006.311076924</v>
      </c>
      <c r="L338" s="177">
        <f t="shared" si="56"/>
        <v>107611.93569230786</v>
      </c>
      <c r="M338" s="178">
        <f t="shared" si="56"/>
        <v>6.4210110468293459E-3</v>
      </c>
      <c r="N338" s="179">
        <f t="shared" si="56"/>
        <v>-22.572307692307671</v>
      </c>
      <c r="O338" s="180">
        <f t="shared" si="56"/>
        <v>-1.7178811767581761E-2</v>
      </c>
    </row>
    <row r="339" spans="1:15" x14ac:dyDescent="0.55000000000000004">
      <c r="A339" s="198" t="s">
        <v>427</v>
      </c>
      <c r="B339" s="181">
        <f>MEDIAN(B10:B334)</f>
        <v>678.4</v>
      </c>
      <c r="C339" s="182">
        <f t="shared" ref="C339:O339" si="57">MEDIAN(C10:C334)</f>
        <v>7988</v>
      </c>
      <c r="D339" s="182">
        <f t="shared" si="57"/>
        <v>5430660</v>
      </c>
      <c r="E339" s="182">
        <f t="shared" si="57"/>
        <v>0</v>
      </c>
      <c r="F339" s="194">
        <f t="shared" si="57"/>
        <v>5430660</v>
      </c>
      <c r="G339" s="181">
        <f t="shared" si="57"/>
        <v>670.7</v>
      </c>
      <c r="H339" s="182">
        <f t="shared" si="57"/>
        <v>8148</v>
      </c>
      <c r="I339" s="182">
        <f t="shared" si="57"/>
        <v>5464863.6000000006</v>
      </c>
      <c r="J339" s="182">
        <f t="shared" si="57"/>
        <v>57488</v>
      </c>
      <c r="K339" s="182">
        <f t="shared" si="57"/>
        <v>5494225.7999999998</v>
      </c>
      <c r="L339" s="182">
        <f t="shared" si="57"/>
        <v>46729</v>
      </c>
      <c r="M339" s="183">
        <f t="shared" si="57"/>
        <v>9.9999689071000909E-3</v>
      </c>
      <c r="N339" s="184">
        <f t="shared" si="57"/>
        <v>-13.5</v>
      </c>
      <c r="O339" s="185">
        <f t="shared" si="57"/>
        <v>-1.6673979815708694E-2</v>
      </c>
    </row>
    <row r="340" spans="1:15" x14ac:dyDescent="0.55000000000000004">
      <c r="A340" s="197" t="s">
        <v>428</v>
      </c>
      <c r="B340" s="215">
        <f>COUNTIF(B10:B334,"&gt;0")</f>
        <v>325</v>
      </c>
      <c r="C340" s="214">
        <f t="shared" ref="C340:L340" si="58">COUNTIF(C10:C334,"&gt;0")</f>
        <v>325</v>
      </c>
      <c r="D340" s="214">
        <f t="shared" si="58"/>
        <v>325</v>
      </c>
      <c r="E340" s="214">
        <f t="shared" si="58"/>
        <v>157</v>
      </c>
      <c r="F340" s="216">
        <f t="shared" si="58"/>
        <v>325</v>
      </c>
      <c r="G340" s="215">
        <f t="shared" si="58"/>
        <v>325</v>
      </c>
      <c r="H340" s="214">
        <f t="shared" si="58"/>
        <v>325</v>
      </c>
      <c r="I340" s="214">
        <f t="shared" si="58"/>
        <v>325</v>
      </c>
      <c r="J340" s="214">
        <f t="shared" si="58"/>
        <v>199</v>
      </c>
      <c r="K340" s="214">
        <f t="shared" si="58"/>
        <v>325</v>
      </c>
      <c r="L340" s="214">
        <f t="shared" si="58"/>
        <v>236</v>
      </c>
      <c r="M340" s="178"/>
      <c r="N340" s="179"/>
      <c r="O340" s="180"/>
    </row>
    <row r="341" spans="1:15" ht="14.7" thickBot="1" x14ac:dyDescent="0.6">
      <c r="A341" s="211" t="s">
        <v>429</v>
      </c>
      <c r="B341" s="200">
        <f>SUM(B10:B334)</f>
        <v>480665.4</v>
      </c>
      <c r="C341" s="201"/>
      <c r="D341" s="201">
        <f t="shared" ref="D341:N341" si="59">SUM(D10:D334)</f>
        <v>3843964749</v>
      </c>
      <c r="E341" s="201">
        <f t="shared" si="59"/>
        <v>24313423</v>
      </c>
      <c r="F341" s="202">
        <f t="shared" si="59"/>
        <v>3868278172</v>
      </c>
      <c r="G341" s="200">
        <f t="shared" si="59"/>
        <v>473329.40000000008</v>
      </c>
      <c r="H341" s="201"/>
      <c r="I341" s="201">
        <f t="shared" si="59"/>
        <v>3861031369.1000009</v>
      </c>
      <c r="J341" s="201">
        <f t="shared" si="59"/>
        <v>42220682</v>
      </c>
      <c r="K341" s="201">
        <f t="shared" si="59"/>
        <v>3903252051.1000004</v>
      </c>
      <c r="L341" s="201">
        <f>SUM(L10:L334)</f>
        <v>34973879.100000054</v>
      </c>
      <c r="M341" s="212"/>
      <c r="N341" s="203">
        <f t="shared" si="59"/>
        <v>-7335.9999999999936</v>
      </c>
      <c r="O341" s="213"/>
    </row>
  </sheetData>
  <mergeCells count="4">
    <mergeCell ref="G8:O8"/>
    <mergeCell ref="B8:F8"/>
    <mergeCell ref="A3:O3"/>
    <mergeCell ref="A4:O4"/>
  </mergeCells>
  <conditionalFormatting sqref="M10:M33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scale="60" fitToHeight="0" orientation="landscape" r:id="rId1"/>
  <headerFooter>
    <oddFooter>&amp;R© ISFIS 2025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A341"/>
  <sheetViews>
    <sheetView topLeftCell="K1" workbookViewId="0">
      <pane ySplit="9" topLeftCell="A232" activePane="bottomLeft" state="frozen"/>
      <selection pane="bottomLeft" activeCell="X244" sqref="X244"/>
    </sheetView>
  </sheetViews>
  <sheetFormatPr defaultRowHeight="14.4" x14ac:dyDescent="0.55000000000000004"/>
  <cols>
    <col min="1" max="1" width="35.26171875" customWidth="1"/>
    <col min="2" max="2" width="11.26171875" customWidth="1"/>
    <col min="3" max="3" width="10.578125" bestFit="1" customWidth="1"/>
    <col min="7" max="7" width="15.26171875" bestFit="1" customWidth="1"/>
    <col min="8" max="10" width="15.26171875" customWidth="1"/>
    <col min="11" max="11" width="14.41796875" customWidth="1"/>
    <col min="12" max="12" width="15.26171875" bestFit="1" customWidth="1"/>
    <col min="13" max="13" width="11.578125" bestFit="1" customWidth="1"/>
    <col min="14" max="14" width="14.41796875" bestFit="1" customWidth="1"/>
    <col min="15" max="16" width="13.41796875" bestFit="1" customWidth="1"/>
    <col min="17" max="17" width="15.41796875" bestFit="1" customWidth="1"/>
    <col min="18" max="18" width="15.26171875" bestFit="1" customWidth="1"/>
    <col min="19" max="21" width="15.26171875" customWidth="1"/>
    <col min="22" max="22" width="12.578125" bestFit="1" customWidth="1"/>
    <col min="23" max="23" width="15.26171875" bestFit="1" customWidth="1"/>
    <col min="24" max="24" width="12.578125" bestFit="1" customWidth="1"/>
    <col min="25" max="25" width="8.26171875" bestFit="1" customWidth="1"/>
    <col min="26" max="26" width="8.68359375" customWidth="1"/>
  </cols>
  <sheetData>
    <row r="3" spans="1:27" ht="21" customHeight="1" x14ac:dyDescent="0.95">
      <c r="A3" s="248" t="s">
        <v>400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</row>
    <row r="4" spans="1:27" x14ac:dyDescent="0.55000000000000004">
      <c r="A4" s="247" t="s">
        <v>454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</row>
    <row r="5" spans="1:27" ht="14.7" thickBot="1" x14ac:dyDescent="0.6">
      <c r="B5" t="s">
        <v>423</v>
      </c>
      <c r="E5" s="2" t="s">
        <v>422</v>
      </c>
    </row>
    <row r="6" spans="1:27" ht="14.7" thickBot="1" x14ac:dyDescent="0.6">
      <c r="B6" s="167">
        <f>Instuctions!C7</f>
        <v>0.02</v>
      </c>
      <c r="E6" s="166">
        <f>Instuctions!E7</f>
        <v>0</v>
      </c>
    </row>
    <row r="7" spans="1:27" ht="14.7" thickBot="1" x14ac:dyDescent="0.6">
      <c r="B7" s="37"/>
    </row>
    <row r="8" spans="1:27" ht="14.7" thickBot="1" x14ac:dyDescent="0.6">
      <c r="A8" s="163"/>
      <c r="B8" s="255" t="s">
        <v>338</v>
      </c>
      <c r="C8" s="256"/>
      <c r="D8" s="256"/>
      <c r="E8" s="256"/>
      <c r="F8" s="256"/>
      <c r="G8" s="256"/>
      <c r="H8" s="256"/>
      <c r="I8" s="256"/>
      <c r="J8" s="256"/>
      <c r="K8" s="256"/>
      <c r="L8" s="256"/>
      <c r="M8" s="249" t="s">
        <v>348</v>
      </c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50"/>
      <c r="AA8" s="251"/>
    </row>
    <row r="9" spans="1:27" ht="50.1" x14ac:dyDescent="0.55000000000000004">
      <c r="A9" s="196" t="s">
        <v>417</v>
      </c>
      <c r="B9" s="232" t="s">
        <v>432</v>
      </c>
      <c r="C9" s="233" t="s">
        <v>433</v>
      </c>
      <c r="D9" s="233" t="s">
        <v>434</v>
      </c>
      <c r="E9" s="233" t="s">
        <v>436</v>
      </c>
      <c r="F9" s="233" t="s">
        <v>435</v>
      </c>
      <c r="G9" s="233" t="s">
        <v>437</v>
      </c>
      <c r="H9" s="233" t="s">
        <v>438</v>
      </c>
      <c r="I9" s="233" t="s">
        <v>439</v>
      </c>
      <c r="J9" s="233" t="s">
        <v>440</v>
      </c>
      <c r="K9" s="233" t="s">
        <v>344</v>
      </c>
      <c r="L9" s="234" t="s">
        <v>445</v>
      </c>
      <c r="M9" s="239" t="s">
        <v>432</v>
      </c>
      <c r="N9" s="235" t="s">
        <v>441</v>
      </c>
      <c r="O9" s="235" t="s">
        <v>442</v>
      </c>
      <c r="P9" s="235" t="s">
        <v>443</v>
      </c>
      <c r="Q9" s="235" t="s">
        <v>444</v>
      </c>
      <c r="R9" s="233" t="s">
        <v>437</v>
      </c>
      <c r="S9" s="233" t="s">
        <v>438</v>
      </c>
      <c r="T9" s="233" t="s">
        <v>439</v>
      </c>
      <c r="U9" s="233" t="s">
        <v>440</v>
      </c>
      <c r="V9" s="235" t="s">
        <v>344</v>
      </c>
      <c r="W9" s="235" t="s">
        <v>445</v>
      </c>
      <c r="X9" s="235" t="s">
        <v>450</v>
      </c>
      <c r="Y9" s="235" t="s">
        <v>451</v>
      </c>
      <c r="Z9" s="235" t="s">
        <v>446</v>
      </c>
      <c r="AA9" s="236" t="s">
        <v>452</v>
      </c>
    </row>
    <row r="10" spans="1:27" x14ac:dyDescent="0.55000000000000004">
      <c r="A10" s="224" t="s">
        <v>3</v>
      </c>
      <c r="B10" s="237">
        <f>INDEX(Data[FY2026 Budget Enrollment],MATCH(A10,Data[Label],0))+INDEX(Data[FY2026 ESA],MATCH(A10,Data[Label],0))</f>
        <v>723.3</v>
      </c>
      <c r="C10" s="225">
        <f>INDEX(Data[FY2026 TSS],MATCH(A10,Data[Label],0))</f>
        <v>984.45</v>
      </c>
      <c r="D10" s="225">
        <f>INDEX(Data[FY2026 PD],MATCH(A10,Data[Label],0))</f>
        <v>77.400000000000006</v>
      </c>
      <c r="E10" s="225">
        <f>INDEX(Data[FY2026 Early Intervention],MATCH(A10,Data[Label],0))</f>
        <v>70.27</v>
      </c>
      <c r="F10" s="225">
        <f>INDEX(Data[FY2026 TLC],MATCH(A10,Data[Label],0))</f>
        <v>385.29</v>
      </c>
      <c r="G10" s="226">
        <f>ROUND($B10*C10,0)</f>
        <v>712053</v>
      </c>
      <c r="H10" s="226">
        <f t="shared" ref="H10:J10" si="0">ROUND($B10*D10,0)</f>
        <v>55983</v>
      </c>
      <c r="I10" s="226">
        <f t="shared" si="0"/>
        <v>50826</v>
      </c>
      <c r="J10" s="226">
        <f t="shared" si="0"/>
        <v>278680</v>
      </c>
      <c r="K10" s="226">
        <f>INDEX(Data[FY2026 TSS Budget Guarantee],MATCH(A10,Data[Label],0))+INDEX(Data[FY2026 PD Budget Guarantee],MATCH(A10,Data[Label],0))+INDEX(Data[FY2026 Early Intervention Budget Guarantee],MATCH(A10,Data[Label],0))+INDEX(Data[FY2026 TLC Budget Gurantee],MATCH(A10,Data[Label],0))</f>
        <v>0</v>
      </c>
      <c r="L10" s="226">
        <f>G10+H10+I10+J10+K10</f>
        <v>1097542</v>
      </c>
      <c r="M10" s="237">
        <f>INDEX(Data[FY2027 Budget Enrollment],MATCH(A10,Data[Label],0))+INDEX(Data[FY2027 ESAs],MATCH(A10,Data[Label],0))</f>
        <v>708.6</v>
      </c>
      <c r="N10" s="225">
        <f>C10+ROUND(684.47*$B$6,2)</f>
        <v>998.1400000000001</v>
      </c>
      <c r="O10" s="225">
        <f>D10+ROUND(77.52*$B$6,2)</f>
        <v>78.95</v>
      </c>
      <c r="P10" s="225">
        <f>E10+ROUND(84.44*$B$6,2)</f>
        <v>71.959999999999994</v>
      </c>
      <c r="Q10" s="225">
        <f>F10+ROUND(F10*$B$6,2)</f>
        <v>393</v>
      </c>
      <c r="R10" s="226">
        <f>ROUND($M10*N10,0)</f>
        <v>707282</v>
      </c>
      <c r="S10" s="226">
        <f t="shared" ref="S10:U10" si="1">ROUND($M10*O10,0)</f>
        <v>55944</v>
      </c>
      <c r="T10" s="226">
        <f t="shared" si="1"/>
        <v>50991</v>
      </c>
      <c r="U10" s="226">
        <f t="shared" si="1"/>
        <v>278480</v>
      </c>
      <c r="V10" s="177">
        <f>ROUND(MAX((G10-R10),0),0)+ROUND(MAX((H10-S10),0),0)+ROUND(MAX((I10-T10),0),0)+ROUND(MAX((J10-U10),0),0)</f>
        <v>5010</v>
      </c>
      <c r="W10" s="226">
        <f>SUM(R10:U10)+V10</f>
        <v>1097707</v>
      </c>
      <c r="X10" s="226">
        <f>W10-L10</f>
        <v>165</v>
      </c>
      <c r="Y10" s="227">
        <f>X10/L10</f>
        <v>1.5033593247456588E-4</v>
      </c>
      <c r="Z10" s="228">
        <f t="shared" ref="Z10:Z74" si="2">M10-B10</f>
        <v>-14.699999999999932</v>
      </c>
      <c r="AA10" s="238">
        <f>Z10/B10</f>
        <v>-2.032351721277469E-2</v>
      </c>
    </row>
    <row r="11" spans="1:27" x14ac:dyDescent="0.55000000000000004">
      <c r="A11" s="229" t="s">
        <v>4</v>
      </c>
      <c r="B11" s="181">
        <f>INDEX(Data[FY2026 Budget Enrollment],MATCH(A11,Data[Label],0))+INDEX(Data[FY2026 ESA],MATCH(A11,Data[Label],0))</f>
        <v>790.2</v>
      </c>
      <c r="C11" s="91">
        <f>INDEX(Data[FY2026 TSS],MATCH(A11,Data[Label],0))</f>
        <v>1040.94</v>
      </c>
      <c r="D11" s="91">
        <f>INDEX(Data[FY2026 PD],MATCH(A11,Data[Label],0))</f>
        <v>66.42</v>
      </c>
      <c r="E11" s="91">
        <f>INDEX(Data[FY2026 Early Intervention],MATCH(A11,Data[Label],0))</f>
        <v>73.66</v>
      </c>
      <c r="F11" s="91">
        <f>INDEX(Data[FY2026 TLC],MATCH(A11,Data[Label],0))</f>
        <v>385.29</v>
      </c>
      <c r="G11" s="182">
        <f t="shared" ref="G11:G74" si="3">ROUND($B11*C11,0)</f>
        <v>822551</v>
      </c>
      <c r="H11" s="182">
        <f t="shared" ref="H11:H74" si="4">ROUND($B11*D11,0)</f>
        <v>52485</v>
      </c>
      <c r="I11" s="182">
        <f t="shared" ref="I11:I74" si="5">ROUND($B11*E11,0)</f>
        <v>58206</v>
      </c>
      <c r="J11" s="182">
        <f t="shared" ref="J11:J74" si="6">ROUND($B11*F11,0)</f>
        <v>304456</v>
      </c>
      <c r="K11" s="182">
        <f>INDEX(Data[FY2026 TSS Budget Guarantee],MATCH(A11,Data[Label],0))+INDEX(Data[FY2026 PD Budget Guarantee],MATCH(A11,Data[Label],0))+INDEX(Data[FY2026 Early Intervention Budget Guarantee],MATCH(A11,Data[Label],0))+INDEX(Data[FY2026 TLC Budget Gurantee],MATCH(A11,Data[Label],0))</f>
        <v>0</v>
      </c>
      <c r="L11" s="182">
        <f t="shared" ref="L11:L74" si="7">G11+H11+I11+J11+K11</f>
        <v>1237698</v>
      </c>
      <c r="M11" s="181">
        <f>INDEX(Data[FY2027 Budget Enrollment],MATCH(A11,Data[Label],0))+INDEX(Data[FY2027 ESAs],MATCH(A11,Data[Label],0))</f>
        <v>771.2</v>
      </c>
      <c r="N11" s="91">
        <f t="shared" ref="N11:N74" si="8">C11+ROUND(684.47*$B$6,2)</f>
        <v>1054.6300000000001</v>
      </c>
      <c r="O11" s="91">
        <f t="shared" ref="O11:O74" si="9">D11+ROUND(77.52*$B$6,2)</f>
        <v>67.97</v>
      </c>
      <c r="P11" s="91">
        <f t="shared" ref="P11:P74" si="10">E11+ROUND(84.44*$B$6,2)</f>
        <v>75.349999999999994</v>
      </c>
      <c r="Q11" s="91">
        <f t="shared" ref="Q11:Q74" si="11">F11+ROUND(F11*$B$6,2)</f>
        <v>393</v>
      </c>
      <c r="R11" s="182">
        <f>ROUND($M11*N11,0)</f>
        <v>813331</v>
      </c>
      <c r="S11" s="182">
        <f>ROUND($M11*O11,0)</f>
        <v>52418</v>
      </c>
      <c r="T11" s="182">
        <f>ROUND($M11*P11,0)</f>
        <v>58110</v>
      </c>
      <c r="U11" s="182">
        <f>ROUND($M11*Q11,)</f>
        <v>303082</v>
      </c>
      <c r="V11" s="182">
        <f t="shared" ref="V11:V74" si="12">ROUND(MAX((G11-R11),0),0)+ROUND(MAX((H11-S11),0),0)+ROUND(MAX((I11-T11),0),0)+ROUND(MAX((J11-U11),0),0)</f>
        <v>10757</v>
      </c>
      <c r="W11" s="182">
        <f t="shared" ref="W11:W74" si="13">SUM(R11:U11)+V11</f>
        <v>1237698</v>
      </c>
      <c r="X11" s="182">
        <f t="shared" ref="X11:X74" si="14">W11-L11</f>
        <v>0</v>
      </c>
      <c r="Y11" s="183">
        <f t="shared" ref="Y11:Y74" si="15">X11/L11</f>
        <v>0</v>
      </c>
      <c r="Z11" s="184">
        <f t="shared" si="2"/>
        <v>-19</v>
      </c>
      <c r="AA11" s="185">
        <f t="shared" ref="AA11:AA74" si="16">Z11/B11</f>
        <v>-2.4044545684636799E-2</v>
      </c>
    </row>
    <row r="12" spans="1:27" x14ac:dyDescent="0.55000000000000004">
      <c r="A12" s="230" t="s">
        <v>5</v>
      </c>
      <c r="B12" s="176">
        <f>INDEX(Data[FY2026 Budget Enrollment],MATCH(A12,Data[Label],0))+INDEX(Data[FY2026 ESA],MATCH(A12,Data[Label],0))</f>
        <v>294.10000000000002</v>
      </c>
      <c r="C12" s="218">
        <f>INDEX(Data[FY2026 TSS],MATCH(A12,Data[Label],0))</f>
        <v>1446.45</v>
      </c>
      <c r="D12" s="218">
        <f>INDEX(Data[FY2026 PD],MATCH(A12,Data[Label],0))</f>
        <v>74.89</v>
      </c>
      <c r="E12" s="218">
        <f>INDEX(Data[FY2026 Early Intervention],MATCH(A12,Data[Label],0))</f>
        <v>82.54</v>
      </c>
      <c r="F12" s="218">
        <f>INDEX(Data[FY2026 TLC],MATCH(A12,Data[Label],0))</f>
        <v>385.29</v>
      </c>
      <c r="G12" s="177">
        <f t="shared" si="3"/>
        <v>425401</v>
      </c>
      <c r="H12" s="177">
        <f t="shared" si="4"/>
        <v>22025</v>
      </c>
      <c r="I12" s="177">
        <f t="shared" si="5"/>
        <v>24275</v>
      </c>
      <c r="J12" s="177">
        <f t="shared" si="6"/>
        <v>113314</v>
      </c>
      <c r="K12" s="177">
        <f>INDEX(Data[FY2026 TSS Budget Guarantee],MATCH(A12,Data[Label],0))+INDEX(Data[FY2026 PD Budget Guarantee],MATCH(A12,Data[Label],0))+INDEX(Data[FY2026 Early Intervention Budget Guarantee],MATCH(A12,Data[Label],0))+INDEX(Data[FY2026 TLC Budget Gurantee],MATCH(A12,Data[Label],0))</f>
        <v>0</v>
      </c>
      <c r="L12" s="177">
        <f t="shared" si="7"/>
        <v>585015</v>
      </c>
      <c r="M12" s="176">
        <f>INDEX(Data[FY2027 Budget Enrollment],MATCH(A12,Data[Label],0))+INDEX(Data[FY2027 ESAs],MATCH(A12,Data[Label],0))</f>
        <v>293.2</v>
      </c>
      <c r="N12" s="218">
        <f t="shared" si="8"/>
        <v>1460.14</v>
      </c>
      <c r="O12" s="218">
        <f t="shared" si="9"/>
        <v>76.44</v>
      </c>
      <c r="P12" s="218">
        <f t="shared" si="10"/>
        <v>84.23</v>
      </c>
      <c r="Q12" s="218">
        <f t="shared" si="11"/>
        <v>393</v>
      </c>
      <c r="R12" s="177">
        <f t="shared" ref="R12:R75" si="17">ROUND($M12*N12,0)</f>
        <v>428113</v>
      </c>
      <c r="S12" s="177">
        <f t="shared" ref="S12:S75" si="18">ROUND($M12*O12,0)</f>
        <v>22412</v>
      </c>
      <c r="T12" s="177">
        <f t="shared" ref="T12:T75" si="19">ROUND($M12*P12,0)</f>
        <v>24696</v>
      </c>
      <c r="U12" s="177">
        <f t="shared" ref="U12" si="20">ROUND($M12*Q12,0)</f>
        <v>115228</v>
      </c>
      <c r="V12" s="177">
        <f t="shared" si="12"/>
        <v>0</v>
      </c>
      <c r="W12" s="177">
        <f t="shared" si="13"/>
        <v>590449</v>
      </c>
      <c r="X12" s="177">
        <f t="shared" si="14"/>
        <v>5434</v>
      </c>
      <c r="Y12" s="178">
        <f t="shared" si="15"/>
        <v>9.2886507183576484E-3</v>
      </c>
      <c r="Z12" s="179">
        <f t="shared" si="2"/>
        <v>-0.90000000000003411</v>
      </c>
      <c r="AA12" s="180">
        <f t="shared" si="16"/>
        <v>-3.0601836110167768E-3</v>
      </c>
    </row>
    <row r="13" spans="1:27" x14ac:dyDescent="0.55000000000000004">
      <c r="A13" s="229" t="s">
        <v>6</v>
      </c>
      <c r="B13" s="181">
        <f>INDEX(Data[FY2026 Budget Enrollment],MATCH(A13,Data[Label],0))+INDEX(Data[FY2026 ESA],MATCH(A13,Data[Label],0))</f>
        <v>2199</v>
      </c>
      <c r="C13" s="91">
        <f>INDEX(Data[FY2026 TSS],MATCH(A13,Data[Label],0))</f>
        <v>824.07</v>
      </c>
      <c r="D13" s="91">
        <f>INDEX(Data[FY2026 PD],MATCH(A13,Data[Label],0))</f>
        <v>75.81</v>
      </c>
      <c r="E13" s="91">
        <f>INDEX(Data[FY2026 Early Intervention],MATCH(A13,Data[Label],0))</f>
        <v>79.42</v>
      </c>
      <c r="F13" s="91">
        <f>INDEX(Data[FY2026 TLC],MATCH(A13,Data[Label],0))</f>
        <v>385.29</v>
      </c>
      <c r="G13" s="182">
        <f t="shared" si="3"/>
        <v>1812130</v>
      </c>
      <c r="H13" s="182">
        <f t="shared" si="4"/>
        <v>166706</v>
      </c>
      <c r="I13" s="182">
        <f t="shared" si="5"/>
        <v>174645</v>
      </c>
      <c r="J13" s="182">
        <f t="shared" si="6"/>
        <v>847253</v>
      </c>
      <c r="K13" s="182">
        <f>INDEX(Data[FY2026 TSS Budget Guarantee],MATCH(A13,Data[Label],0))+INDEX(Data[FY2026 PD Budget Guarantee],MATCH(A13,Data[Label],0))+INDEX(Data[FY2026 Early Intervention Budget Guarantee],MATCH(A13,Data[Label],0))+INDEX(Data[FY2026 TLC Budget Gurantee],MATCH(A13,Data[Label],0))</f>
        <v>0</v>
      </c>
      <c r="L13" s="182">
        <f t="shared" si="7"/>
        <v>3000734</v>
      </c>
      <c r="M13" s="181">
        <f>INDEX(Data[FY2027 Budget Enrollment],MATCH(A13,Data[Label],0))+INDEX(Data[FY2027 ESAs],MATCH(A13,Data[Label],0))</f>
        <v>2254.4</v>
      </c>
      <c r="N13" s="91">
        <f t="shared" si="8"/>
        <v>837.7600000000001</v>
      </c>
      <c r="O13" s="91">
        <f t="shared" si="9"/>
        <v>77.36</v>
      </c>
      <c r="P13" s="91">
        <f t="shared" si="10"/>
        <v>81.11</v>
      </c>
      <c r="Q13" s="91">
        <f t="shared" si="11"/>
        <v>393</v>
      </c>
      <c r="R13" s="182">
        <f t="shared" si="17"/>
        <v>1888646</v>
      </c>
      <c r="S13" s="182">
        <f t="shared" si="18"/>
        <v>174400</v>
      </c>
      <c r="T13" s="182">
        <f t="shared" si="19"/>
        <v>182854</v>
      </c>
      <c r="U13" s="182">
        <f t="shared" ref="U13" si="21">ROUND($M13*Q13,)</f>
        <v>885979</v>
      </c>
      <c r="V13" s="182">
        <f t="shared" si="12"/>
        <v>0</v>
      </c>
      <c r="W13" s="182">
        <f t="shared" si="13"/>
        <v>3131879</v>
      </c>
      <c r="X13" s="182">
        <f t="shared" si="14"/>
        <v>131145</v>
      </c>
      <c r="Y13" s="183">
        <f t="shared" si="15"/>
        <v>4.3704307012884178E-2</v>
      </c>
      <c r="Z13" s="184">
        <f t="shared" si="2"/>
        <v>55.400000000000091</v>
      </c>
      <c r="AA13" s="185">
        <f t="shared" si="16"/>
        <v>2.5193269668030965E-2</v>
      </c>
    </row>
    <row r="14" spans="1:27" x14ac:dyDescent="0.55000000000000004">
      <c r="A14" s="230" t="s">
        <v>7</v>
      </c>
      <c r="B14" s="176">
        <f>INDEX(Data[FY2026 Budget Enrollment],MATCH(A14,Data[Label],0))+INDEX(Data[FY2026 ESA],MATCH(A14,Data[Label],0))</f>
        <v>535.4</v>
      </c>
      <c r="C14" s="218">
        <f>INDEX(Data[FY2026 TSS],MATCH(A14,Data[Label],0))</f>
        <v>1102.44</v>
      </c>
      <c r="D14" s="218">
        <f>INDEX(Data[FY2026 PD],MATCH(A14,Data[Label],0))</f>
        <v>83.03</v>
      </c>
      <c r="E14" s="218">
        <f>INDEX(Data[FY2026 Early Intervention],MATCH(A14,Data[Label],0))</f>
        <v>81.569999999999993</v>
      </c>
      <c r="F14" s="218">
        <f>INDEX(Data[FY2026 TLC],MATCH(A14,Data[Label],0))</f>
        <v>385.29</v>
      </c>
      <c r="G14" s="177">
        <f t="shared" si="3"/>
        <v>590246</v>
      </c>
      <c r="H14" s="177">
        <f t="shared" si="4"/>
        <v>44454</v>
      </c>
      <c r="I14" s="177">
        <f t="shared" si="5"/>
        <v>43673</v>
      </c>
      <c r="J14" s="177">
        <f t="shared" si="6"/>
        <v>206284</v>
      </c>
      <c r="K14" s="177">
        <f>INDEX(Data[FY2026 TSS Budget Guarantee],MATCH(A14,Data[Label],0))+INDEX(Data[FY2026 PD Budget Guarantee],MATCH(A14,Data[Label],0))+INDEX(Data[FY2026 Early Intervention Budget Guarantee],MATCH(A14,Data[Label],0))+INDEX(Data[FY2026 TLC Budget Gurantee],MATCH(A14,Data[Label],0))</f>
        <v>0</v>
      </c>
      <c r="L14" s="177">
        <f t="shared" si="7"/>
        <v>884657</v>
      </c>
      <c r="M14" s="176">
        <f>INDEX(Data[FY2027 Budget Enrollment],MATCH(A14,Data[Label],0))+INDEX(Data[FY2027 ESAs],MATCH(A14,Data[Label],0))</f>
        <v>531.20000000000005</v>
      </c>
      <c r="N14" s="218">
        <f t="shared" si="8"/>
        <v>1116.1300000000001</v>
      </c>
      <c r="O14" s="218">
        <f t="shared" si="9"/>
        <v>84.58</v>
      </c>
      <c r="P14" s="218">
        <f t="shared" si="10"/>
        <v>83.259999999999991</v>
      </c>
      <c r="Q14" s="218">
        <f t="shared" si="11"/>
        <v>393</v>
      </c>
      <c r="R14" s="177">
        <f t="shared" si="17"/>
        <v>592888</v>
      </c>
      <c r="S14" s="177">
        <f t="shared" si="18"/>
        <v>44929</v>
      </c>
      <c r="T14" s="177">
        <f t="shared" si="19"/>
        <v>44228</v>
      </c>
      <c r="U14" s="177">
        <f t="shared" ref="U14" si="22">ROUND($M14*Q14,0)</f>
        <v>208762</v>
      </c>
      <c r="V14" s="177">
        <f t="shared" si="12"/>
        <v>0</v>
      </c>
      <c r="W14" s="177">
        <f t="shared" si="13"/>
        <v>890807</v>
      </c>
      <c r="X14" s="177">
        <f t="shared" si="14"/>
        <v>6150</v>
      </c>
      <c r="Y14" s="178">
        <f t="shared" si="15"/>
        <v>6.9518468739861892E-3</v>
      </c>
      <c r="Z14" s="179">
        <f t="shared" si="2"/>
        <v>-4.1999999999999318</v>
      </c>
      <c r="AA14" s="180">
        <f t="shared" si="16"/>
        <v>-7.8446021666042816E-3</v>
      </c>
    </row>
    <row r="15" spans="1:27" x14ac:dyDescent="0.55000000000000004">
      <c r="A15" s="229" t="s">
        <v>8</v>
      </c>
      <c r="B15" s="181">
        <f>INDEX(Data[FY2026 Budget Enrollment],MATCH(A15,Data[Label],0))+INDEX(Data[FY2026 ESA],MATCH(A15,Data[Label],0))</f>
        <v>213.3</v>
      </c>
      <c r="C15" s="91">
        <f>INDEX(Data[FY2026 TSS],MATCH(A15,Data[Label],0))</f>
        <v>1280.79</v>
      </c>
      <c r="D15" s="91">
        <f>INDEX(Data[FY2026 PD],MATCH(A15,Data[Label],0))</f>
        <v>54.19</v>
      </c>
      <c r="E15" s="91">
        <f>INDEX(Data[FY2026 Early Intervention],MATCH(A15,Data[Label],0))</f>
        <v>56.84</v>
      </c>
      <c r="F15" s="91">
        <f>INDEX(Data[FY2026 TLC],MATCH(A15,Data[Label],0))</f>
        <v>385.29</v>
      </c>
      <c r="G15" s="182">
        <f t="shared" si="3"/>
        <v>273193</v>
      </c>
      <c r="H15" s="182">
        <f t="shared" si="4"/>
        <v>11559</v>
      </c>
      <c r="I15" s="182">
        <f t="shared" si="5"/>
        <v>12124</v>
      </c>
      <c r="J15" s="182">
        <f t="shared" si="6"/>
        <v>82182</v>
      </c>
      <c r="K15" s="182">
        <f>INDEX(Data[FY2026 TSS Budget Guarantee],MATCH(A15,Data[Label],0))+INDEX(Data[FY2026 PD Budget Guarantee],MATCH(A15,Data[Label],0))+INDEX(Data[FY2026 Early Intervention Budget Guarantee],MATCH(A15,Data[Label],0))+INDEX(Data[FY2026 TLC Budget Gurantee],MATCH(A15,Data[Label],0))</f>
        <v>0</v>
      </c>
      <c r="L15" s="182">
        <f t="shared" si="7"/>
        <v>379058</v>
      </c>
      <c r="M15" s="181">
        <f>INDEX(Data[FY2027 Budget Enrollment],MATCH(A15,Data[Label],0))+INDEX(Data[FY2027 ESAs],MATCH(A15,Data[Label],0))</f>
        <v>200.3</v>
      </c>
      <c r="N15" s="91">
        <f t="shared" si="8"/>
        <v>1294.48</v>
      </c>
      <c r="O15" s="91">
        <f t="shared" si="9"/>
        <v>55.739999999999995</v>
      </c>
      <c r="P15" s="91">
        <f t="shared" si="10"/>
        <v>58.53</v>
      </c>
      <c r="Q15" s="91">
        <f t="shared" si="11"/>
        <v>393</v>
      </c>
      <c r="R15" s="182">
        <f t="shared" si="17"/>
        <v>259284</v>
      </c>
      <c r="S15" s="182">
        <f t="shared" si="18"/>
        <v>11165</v>
      </c>
      <c r="T15" s="182">
        <f t="shared" si="19"/>
        <v>11724</v>
      </c>
      <c r="U15" s="182">
        <f t="shared" ref="U15" si="23">ROUND($M15*Q15,)</f>
        <v>78718</v>
      </c>
      <c r="V15" s="182">
        <f t="shared" si="12"/>
        <v>18167</v>
      </c>
      <c r="W15" s="182">
        <f t="shared" si="13"/>
        <v>379058</v>
      </c>
      <c r="X15" s="182">
        <f t="shared" si="14"/>
        <v>0</v>
      </c>
      <c r="Y15" s="183">
        <f t="shared" si="15"/>
        <v>0</v>
      </c>
      <c r="Z15" s="184">
        <f t="shared" si="2"/>
        <v>-13</v>
      </c>
      <c r="AA15" s="185">
        <f t="shared" si="16"/>
        <v>-6.0947022972339428E-2</v>
      </c>
    </row>
    <row r="16" spans="1:27" x14ac:dyDescent="0.55000000000000004">
      <c r="A16" s="230" t="s">
        <v>9</v>
      </c>
      <c r="B16" s="176">
        <f>INDEX(Data[FY2026 Budget Enrollment],MATCH(A16,Data[Label],0))+INDEX(Data[FY2026 ESA],MATCH(A16,Data[Label],0))</f>
        <v>1084.8</v>
      </c>
      <c r="C16" s="218">
        <f>INDEX(Data[FY2026 TSS],MATCH(A16,Data[Label],0))</f>
        <v>846.3</v>
      </c>
      <c r="D16" s="218">
        <f>INDEX(Data[FY2026 PD],MATCH(A16,Data[Label],0))</f>
        <v>77.38</v>
      </c>
      <c r="E16" s="218">
        <f>INDEX(Data[FY2026 Early Intervention],MATCH(A16,Data[Label],0))</f>
        <v>76.38</v>
      </c>
      <c r="F16" s="218">
        <f>INDEX(Data[FY2026 TLC],MATCH(A16,Data[Label],0))</f>
        <v>385.29</v>
      </c>
      <c r="G16" s="177">
        <f t="shared" si="3"/>
        <v>918066</v>
      </c>
      <c r="H16" s="177">
        <f t="shared" si="4"/>
        <v>83942</v>
      </c>
      <c r="I16" s="177">
        <f t="shared" si="5"/>
        <v>82857</v>
      </c>
      <c r="J16" s="177">
        <f t="shared" si="6"/>
        <v>417963</v>
      </c>
      <c r="K16" s="177">
        <f>INDEX(Data[FY2026 TSS Budget Guarantee],MATCH(A16,Data[Label],0))+INDEX(Data[FY2026 PD Budget Guarantee],MATCH(A16,Data[Label],0))+INDEX(Data[FY2026 Early Intervention Budget Guarantee],MATCH(A16,Data[Label],0))+INDEX(Data[FY2026 TLC Budget Gurantee],MATCH(A16,Data[Label],0))</f>
        <v>0</v>
      </c>
      <c r="L16" s="177">
        <f t="shared" si="7"/>
        <v>1502828</v>
      </c>
      <c r="M16" s="176">
        <f>INDEX(Data[FY2027 Budget Enrollment],MATCH(A16,Data[Label],0))+INDEX(Data[FY2027 ESAs],MATCH(A16,Data[Label],0))</f>
        <v>1079.2</v>
      </c>
      <c r="N16" s="218">
        <f t="shared" si="8"/>
        <v>859.99</v>
      </c>
      <c r="O16" s="218">
        <f t="shared" si="9"/>
        <v>78.929999999999993</v>
      </c>
      <c r="P16" s="218">
        <f t="shared" si="10"/>
        <v>78.069999999999993</v>
      </c>
      <c r="Q16" s="218">
        <f t="shared" si="11"/>
        <v>393</v>
      </c>
      <c r="R16" s="177">
        <f t="shared" si="17"/>
        <v>928101</v>
      </c>
      <c r="S16" s="177">
        <f t="shared" si="18"/>
        <v>85181</v>
      </c>
      <c r="T16" s="177">
        <f t="shared" si="19"/>
        <v>84253</v>
      </c>
      <c r="U16" s="177">
        <f t="shared" ref="U16" si="24">ROUND($M16*Q16,0)</f>
        <v>424126</v>
      </c>
      <c r="V16" s="177">
        <f t="shared" si="12"/>
        <v>0</v>
      </c>
      <c r="W16" s="177">
        <f t="shared" si="13"/>
        <v>1521661</v>
      </c>
      <c r="X16" s="177">
        <f t="shared" si="14"/>
        <v>18833</v>
      </c>
      <c r="Y16" s="178">
        <f t="shared" si="15"/>
        <v>1.253170688861267E-2</v>
      </c>
      <c r="Z16" s="179">
        <f t="shared" si="2"/>
        <v>-5.5999999999999091</v>
      </c>
      <c r="AA16" s="180">
        <f t="shared" si="16"/>
        <v>-5.1622418879055214E-3</v>
      </c>
    </row>
    <row r="17" spans="1:27" x14ac:dyDescent="0.55000000000000004">
      <c r="A17" s="229" t="s">
        <v>10</v>
      </c>
      <c r="B17" s="181">
        <f>INDEX(Data[FY2026 Budget Enrollment],MATCH(A17,Data[Label],0))+INDEX(Data[FY2026 ESA],MATCH(A17,Data[Label],0))</f>
        <v>556.5</v>
      </c>
      <c r="C17" s="91">
        <f>INDEX(Data[FY2026 TSS],MATCH(A17,Data[Label],0))</f>
        <v>1140.3699999999999</v>
      </c>
      <c r="D17" s="91">
        <f>INDEX(Data[FY2026 PD],MATCH(A17,Data[Label],0))</f>
        <v>79.62</v>
      </c>
      <c r="E17" s="91">
        <f>INDEX(Data[FY2026 Early Intervention],MATCH(A17,Data[Label],0))</f>
        <v>69.44</v>
      </c>
      <c r="F17" s="91">
        <f>INDEX(Data[FY2026 TLC],MATCH(A17,Data[Label],0))</f>
        <v>385.29</v>
      </c>
      <c r="G17" s="182">
        <f t="shared" si="3"/>
        <v>634616</v>
      </c>
      <c r="H17" s="182">
        <f t="shared" si="4"/>
        <v>44309</v>
      </c>
      <c r="I17" s="182">
        <f t="shared" si="5"/>
        <v>38643</v>
      </c>
      <c r="J17" s="182">
        <f t="shared" si="6"/>
        <v>214414</v>
      </c>
      <c r="K17" s="182">
        <f>INDEX(Data[FY2026 TSS Budget Guarantee],MATCH(A17,Data[Label],0))+INDEX(Data[FY2026 PD Budget Guarantee],MATCH(A17,Data[Label],0))+INDEX(Data[FY2026 Early Intervention Budget Guarantee],MATCH(A17,Data[Label],0))+INDEX(Data[FY2026 TLC Budget Gurantee],MATCH(A17,Data[Label],0))</f>
        <v>0</v>
      </c>
      <c r="L17" s="182">
        <f t="shared" si="7"/>
        <v>931982</v>
      </c>
      <c r="M17" s="181">
        <f>INDEX(Data[FY2027 Budget Enrollment],MATCH(A17,Data[Label],0))+INDEX(Data[FY2027 ESAs],MATCH(A17,Data[Label],0))</f>
        <v>549.29999999999995</v>
      </c>
      <c r="N17" s="91">
        <f t="shared" si="8"/>
        <v>1154.06</v>
      </c>
      <c r="O17" s="91">
        <f t="shared" si="9"/>
        <v>81.17</v>
      </c>
      <c r="P17" s="91">
        <f t="shared" si="10"/>
        <v>71.13</v>
      </c>
      <c r="Q17" s="91">
        <f t="shared" si="11"/>
        <v>393</v>
      </c>
      <c r="R17" s="182">
        <f t="shared" si="17"/>
        <v>633925</v>
      </c>
      <c r="S17" s="182">
        <f t="shared" si="18"/>
        <v>44587</v>
      </c>
      <c r="T17" s="182">
        <f t="shared" si="19"/>
        <v>39072</v>
      </c>
      <c r="U17" s="182">
        <f t="shared" ref="U17" si="25">ROUND($M17*Q17,)</f>
        <v>215875</v>
      </c>
      <c r="V17" s="182">
        <f t="shared" si="12"/>
        <v>691</v>
      </c>
      <c r="W17" s="182">
        <f t="shared" si="13"/>
        <v>934150</v>
      </c>
      <c r="X17" s="182">
        <f t="shared" si="14"/>
        <v>2168</v>
      </c>
      <c r="Y17" s="183">
        <f t="shared" si="15"/>
        <v>2.3262251846065695E-3</v>
      </c>
      <c r="Z17" s="184">
        <f t="shared" si="2"/>
        <v>-7.2000000000000455</v>
      </c>
      <c r="AA17" s="185">
        <f t="shared" si="16"/>
        <v>-1.2938005390835661E-2</v>
      </c>
    </row>
    <row r="18" spans="1:27" x14ac:dyDescent="0.55000000000000004">
      <c r="A18" s="230" t="s">
        <v>11</v>
      </c>
      <c r="B18" s="176">
        <f>INDEX(Data[FY2026 Budget Enrollment],MATCH(A18,Data[Label],0))+INDEX(Data[FY2026 ESA],MATCH(A18,Data[Label],0))</f>
        <v>253.4</v>
      </c>
      <c r="C18" s="218">
        <f>INDEX(Data[FY2026 TSS],MATCH(A18,Data[Label],0))</f>
        <v>1464.48</v>
      </c>
      <c r="D18" s="218">
        <f>INDEX(Data[FY2026 PD],MATCH(A18,Data[Label],0))</f>
        <v>71.08</v>
      </c>
      <c r="E18" s="218">
        <f>INDEX(Data[FY2026 Early Intervention],MATCH(A18,Data[Label],0))</f>
        <v>90.25</v>
      </c>
      <c r="F18" s="218">
        <f>INDEX(Data[FY2026 TLC],MATCH(A18,Data[Label],0))</f>
        <v>385.29</v>
      </c>
      <c r="G18" s="177">
        <f t="shared" si="3"/>
        <v>371099</v>
      </c>
      <c r="H18" s="177">
        <f t="shared" si="4"/>
        <v>18012</v>
      </c>
      <c r="I18" s="177">
        <f t="shared" si="5"/>
        <v>22869</v>
      </c>
      <c r="J18" s="177">
        <f t="shared" si="6"/>
        <v>97632</v>
      </c>
      <c r="K18" s="177">
        <f>INDEX(Data[FY2026 TSS Budget Guarantee],MATCH(A18,Data[Label],0))+INDEX(Data[FY2026 PD Budget Guarantee],MATCH(A18,Data[Label],0))+INDEX(Data[FY2026 Early Intervention Budget Guarantee],MATCH(A18,Data[Label],0))+INDEX(Data[FY2026 TLC Budget Gurantee],MATCH(A18,Data[Label],0))</f>
        <v>4730</v>
      </c>
      <c r="L18" s="177">
        <f t="shared" si="7"/>
        <v>514342</v>
      </c>
      <c r="M18" s="176">
        <f>INDEX(Data[FY2027 Budget Enrollment],MATCH(A18,Data[Label],0))+INDEX(Data[FY2027 ESAs],MATCH(A18,Data[Label],0))</f>
        <v>243.2</v>
      </c>
      <c r="N18" s="218">
        <f t="shared" si="8"/>
        <v>1478.17</v>
      </c>
      <c r="O18" s="218">
        <f t="shared" si="9"/>
        <v>72.63</v>
      </c>
      <c r="P18" s="218">
        <f t="shared" si="10"/>
        <v>91.94</v>
      </c>
      <c r="Q18" s="218">
        <f t="shared" si="11"/>
        <v>393</v>
      </c>
      <c r="R18" s="177">
        <f t="shared" si="17"/>
        <v>359491</v>
      </c>
      <c r="S18" s="177">
        <f t="shared" si="18"/>
        <v>17664</v>
      </c>
      <c r="T18" s="177">
        <f t="shared" si="19"/>
        <v>22360</v>
      </c>
      <c r="U18" s="177">
        <f t="shared" ref="U18" si="26">ROUND($M18*Q18,0)</f>
        <v>95578</v>
      </c>
      <c r="V18" s="177">
        <f t="shared" si="12"/>
        <v>14519</v>
      </c>
      <c r="W18" s="177">
        <f t="shared" si="13"/>
        <v>509612</v>
      </c>
      <c r="X18" s="177">
        <f t="shared" si="14"/>
        <v>-4730</v>
      </c>
      <c r="Y18" s="178">
        <f t="shared" si="15"/>
        <v>-9.1962157474987458E-3</v>
      </c>
      <c r="Z18" s="179">
        <f t="shared" si="2"/>
        <v>-10.200000000000017</v>
      </c>
      <c r="AA18" s="180">
        <f t="shared" si="16"/>
        <v>-4.0252565114443632E-2</v>
      </c>
    </row>
    <row r="19" spans="1:27" x14ac:dyDescent="0.55000000000000004">
      <c r="A19" s="229" t="s">
        <v>12</v>
      </c>
      <c r="B19" s="181">
        <f>INDEX(Data[FY2026 Budget Enrollment],MATCH(A19,Data[Label],0))+INDEX(Data[FY2026 ESA],MATCH(A19,Data[Label],0))</f>
        <v>1694.2</v>
      </c>
      <c r="C19" s="91">
        <f>INDEX(Data[FY2026 TSS],MATCH(A19,Data[Label],0))</f>
        <v>786.83</v>
      </c>
      <c r="D19" s="91">
        <f>INDEX(Data[FY2026 PD],MATCH(A19,Data[Label],0))</f>
        <v>82.88</v>
      </c>
      <c r="E19" s="91">
        <f>INDEX(Data[FY2026 Early Intervention],MATCH(A19,Data[Label],0))</f>
        <v>69.89</v>
      </c>
      <c r="F19" s="91">
        <f>INDEX(Data[FY2026 TLC],MATCH(A19,Data[Label],0))</f>
        <v>385.29</v>
      </c>
      <c r="G19" s="182">
        <f t="shared" si="3"/>
        <v>1333047</v>
      </c>
      <c r="H19" s="182">
        <f t="shared" si="4"/>
        <v>140415</v>
      </c>
      <c r="I19" s="182">
        <f t="shared" si="5"/>
        <v>118408</v>
      </c>
      <c r="J19" s="182">
        <f t="shared" si="6"/>
        <v>652758</v>
      </c>
      <c r="K19" s="182">
        <f>INDEX(Data[FY2026 TSS Budget Guarantee],MATCH(A19,Data[Label],0))+INDEX(Data[FY2026 PD Budget Guarantee],MATCH(A19,Data[Label],0))+INDEX(Data[FY2026 Early Intervention Budget Guarantee],MATCH(A19,Data[Label],0))+INDEX(Data[FY2026 TLC Budget Gurantee],MATCH(A19,Data[Label],0))</f>
        <v>0</v>
      </c>
      <c r="L19" s="182">
        <f t="shared" si="7"/>
        <v>2244628</v>
      </c>
      <c r="M19" s="181">
        <f>INDEX(Data[FY2027 Budget Enrollment],MATCH(A19,Data[Label],0))+INDEX(Data[FY2027 ESAs],MATCH(A19,Data[Label],0))</f>
        <v>1759.1</v>
      </c>
      <c r="N19" s="91">
        <f t="shared" si="8"/>
        <v>800.5200000000001</v>
      </c>
      <c r="O19" s="91">
        <f t="shared" si="9"/>
        <v>84.429999999999993</v>
      </c>
      <c r="P19" s="91">
        <f t="shared" si="10"/>
        <v>71.58</v>
      </c>
      <c r="Q19" s="91">
        <f t="shared" si="11"/>
        <v>393</v>
      </c>
      <c r="R19" s="182">
        <f t="shared" si="17"/>
        <v>1408195</v>
      </c>
      <c r="S19" s="182">
        <f t="shared" si="18"/>
        <v>148521</v>
      </c>
      <c r="T19" s="182">
        <f t="shared" si="19"/>
        <v>125916</v>
      </c>
      <c r="U19" s="182">
        <f t="shared" ref="U19" si="27">ROUND($M19*Q19,)</f>
        <v>691326</v>
      </c>
      <c r="V19" s="182">
        <f t="shared" si="12"/>
        <v>0</v>
      </c>
      <c r="W19" s="182">
        <f t="shared" si="13"/>
        <v>2373958</v>
      </c>
      <c r="X19" s="182">
        <f t="shared" si="14"/>
        <v>129330</v>
      </c>
      <c r="Y19" s="183">
        <f t="shared" si="15"/>
        <v>5.7617565137742202E-2</v>
      </c>
      <c r="Z19" s="184">
        <f t="shared" si="2"/>
        <v>64.899999999999864</v>
      </c>
      <c r="AA19" s="185">
        <f t="shared" si="16"/>
        <v>3.8307165623893198E-2</v>
      </c>
    </row>
    <row r="20" spans="1:27" x14ac:dyDescent="0.55000000000000004">
      <c r="A20" s="230" t="s">
        <v>13</v>
      </c>
      <c r="B20" s="176">
        <f>INDEX(Data[FY2026 Budget Enrollment],MATCH(A20,Data[Label],0))+INDEX(Data[FY2026 ESA],MATCH(A20,Data[Label],0))</f>
        <v>1242.7</v>
      </c>
      <c r="C20" s="218">
        <f>INDEX(Data[FY2026 TSS],MATCH(A20,Data[Label],0))</f>
        <v>920.9</v>
      </c>
      <c r="D20" s="218">
        <f>INDEX(Data[FY2026 PD],MATCH(A20,Data[Label],0))</f>
        <v>72.260000000000005</v>
      </c>
      <c r="E20" s="218">
        <f>INDEX(Data[FY2026 Early Intervention],MATCH(A20,Data[Label],0))</f>
        <v>79.290000000000006</v>
      </c>
      <c r="F20" s="218">
        <f>INDEX(Data[FY2026 TLC],MATCH(A20,Data[Label],0))</f>
        <v>385.29</v>
      </c>
      <c r="G20" s="177">
        <f t="shared" si="3"/>
        <v>1144402</v>
      </c>
      <c r="H20" s="177">
        <f t="shared" si="4"/>
        <v>89798</v>
      </c>
      <c r="I20" s="177">
        <f t="shared" si="5"/>
        <v>98534</v>
      </c>
      <c r="J20" s="177">
        <f t="shared" si="6"/>
        <v>478800</v>
      </c>
      <c r="K20" s="177">
        <f>INDEX(Data[FY2026 TSS Budget Guarantee],MATCH(A20,Data[Label],0))+INDEX(Data[FY2026 PD Budget Guarantee],MATCH(A20,Data[Label],0))+INDEX(Data[FY2026 Early Intervention Budget Guarantee],MATCH(A20,Data[Label],0))+INDEX(Data[FY2026 TLC Budget Gurantee],MATCH(A20,Data[Label],0))</f>
        <v>0</v>
      </c>
      <c r="L20" s="177">
        <f t="shared" si="7"/>
        <v>1811534</v>
      </c>
      <c r="M20" s="176">
        <f>INDEX(Data[FY2027 Budget Enrollment],MATCH(A20,Data[Label],0))+INDEX(Data[FY2027 ESAs],MATCH(A20,Data[Label],0))</f>
        <v>1230.5</v>
      </c>
      <c r="N20" s="218">
        <f t="shared" si="8"/>
        <v>934.59</v>
      </c>
      <c r="O20" s="218">
        <f t="shared" si="9"/>
        <v>73.81</v>
      </c>
      <c r="P20" s="218">
        <f t="shared" si="10"/>
        <v>80.98</v>
      </c>
      <c r="Q20" s="218">
        <f t="shared" si="11"/>
        <v>393</v>
      </c>
      <c r="R20" s="177">
        <f t="shared" si="17"/>
        <v>1150013</v>
      </c>
      <c r="S20" s="177">
        <f t="shared" si="18"/>
        <v>90823</v>
      </c>
      <c r="T20" s="177">
        <f t="shared" si="19"/>
        <v>99646</v>
      </c>
      <c r="U20" s="177">
        <f t="shared" ref="U20" si="28">ROUND($M20*Q20,0)</f>
        <v>483587</v>
      </c>
      <c r="V20" s="177">
        <f t="shared" si="12"/>
        <v>0</v>
      </c>
      <c r="W20" s="177">
        <f t="shared" si="13"/>
        <v>1824069</v>
      </c>
      <c r="X20" s="177">
        <f t="shared" si="14"/>
        <v>12535</v>
      </c>
      <c r="Y20" s="178">
        <f t="shared" si="15"/>
        <v>6.9195499504839542E-3</v>
      </c>
      <c r="Z20" s="179">
        <f t="shared" si="2"/>
        <v>-12.200000000000045</v>
      </c>
      <c r="AA20" s="180">
        <f t="shared" si="16"/>
        <v>-9.8173332260401095E-3</v>
      </c>
    </row>
    <row r="21" spans="1:27" x14ac:dyDescent="0.55000000000000004">
      <c r="A21" s="229" t="s">
        <v>14</v>
      </c>
      <c r="B21" s="181">
        <f>INDEX(Data[FY2026 Budget Enrollment],MATCH(A21,Data[Label],0))+INDEX(Data[FY2026 ESA],MATCH(A21,Data[Label],0))</f>
        <v>868.6</v>
      </c>
      <c r="C21" s="91">
        <f>INDEX(Data[FY2026 TSS],MATCH(A21,Data[Label],0))</f>
        <v>1121.53</v>
      </c>
      <c r="D21" s="91">
        <f>INDEX(Data[FY2026 PD],MATCH(A21,Data[Label],0))</f>
        <v>84.77</v>
      </c>
      <c r="E21" s="91">
        <f>INDEX(Data[FY2026 Early Intervention],MATCH(A21,Data[Label],0))</f>
        <v>90.53</v>
      </c>
      <c r="F21" s="91">
        <f>INDEX(Data[FY2026 TLC],MATCH(A21,Data[Label],0))</f>
        <v>385.29</v>
      </c>
      <c r="G21" s="182">
        <f t="shared" si="3"/>
        <v>974161</v>
      </c>
      <c r="H21" s="182">
        <f t="shared" si="4"/>
        <v>73631</v>
      </c>
      <c r="I21" s="182">
        <f t="shared" si="5"/>
        <v>78634</v>
      </c>
      <c r="J21" s="182">
        <f t="shared" si="6"/>
        <v>334663</v>
      </c>
      <c r="K21" s="182">
        <f>INDEX(Data[FY2026 TSS Budget Guarantee],MATCH(A21,Data[Label],0))+INDEX(Data[FY2026 PD Budget Guarantee],MATCH(A21,Data[Label],0))+INDEX(Data[FY2026 Early Intervention Budget Guarantee],MATCH(A21,Data[Label],0))+INDEX(Data[FY2026 TLC Budget Gurantee],MATCH(A21,Data[Label],0))</f>
        <v>0</v>
      </c>
      <c r="L21" s="182">
        <f t="shared" si="7"/>
        <v>1461089</v>
      </c>
      <c r="M21" s="181">
        <f>INDEX(Data[FY2027 Budget Enrollment],MATCH(A21,Data[Label],0))+INDEX(Data[FY2027 ESAs],MATCH(A21,Data[Label],0))</f>
        <v>899.3</v>
      </c>
      <c r="N21" s="91">
        <f t="shared" si="8"/>
        <v>1135.22</v>
      </c>
      <c r="O21" s="91">
        <f t="shared" si="9"/>
        <v>86.32</v>
      </c>
      <c r="P21" s="91">
        <f t="shared" si="10"/>
        <v>92.22</v>
      </c>
      <c r="Q21" s="91">
        <f t="shared" si="11"/>
        <v>393</v>
      </c>
      <c r="R21" s="182">
        <f t="shared" si="17"/>
        <v>1020903</v>
      </c>
      <c r="S21" s="182">
        <f t="shared" si="18"/>
        <v>77628</v>
      </c>
      <c r="T21" s="182">
        <f t="shared" si="19"/>
        <v>82933</v>
      </c>
      <c r="U21" s="182">
        <f t="shared" ref="U21" si="29">ROUND($M21*Q21,)</f>
        <v>353425</v>
      </c>
      <c r="V21" s="182">
        <f t="shared" si="12"/>
        <v>0</v>
      </c>
      <c r="W21" s="182">
        <f t="shared" si="13"/>
        <v>1534889</v>
      </c>
      <c r="X21" s="182">
        <f t="shared" si="14"/>
        <v>73800</v>
      </c>
      <c r="Y21" s="183">
        <f t="shared" si="15"/>
        <v>5.0510270079372303E-2</v>
      </c>
      <c r="Z21" s="184">
        <f t="shared" si="2"/>
        <v>30.699999999999932</v>
      </c>
      <c r="AA21" s="185">
        <f t="shared" si="16"/>
        <v>3.5344232097628291E-2</v>
      </c>
    </row>
    <row r="22" spans="1:27" x14ac:dyDescent="0.55000000000000004">
      <c r="A22" s="230" t="s">
        <v>15</v>
      </c>
      <c r="B22" s="176">
        <f>INDEX(Data[FY2026 Budget Enrollment],MATCH(A22,Data[Label],0))+INDEX(Data[FY2026 ESA],MATCH(A22,Data[Label],0))</f>
        <v>4660</v>
      </c>
      <c r="C22" s="218">
        <f>INDEX(Data[FY2026 TSS],MATCH(A22,Data[Label],0))</f>
        <v>742.38</v>
      </c>
      <c r="D22" s="218">
        <f>INDEX(Data[FY2026 PD],MATCH(A22,Data[Label],0))</f>
        <v>83</v>
      </c>
      <c r="E22" s="218">
        <f>INDEX(Data[FY2026 Early Intervention],MATCH(A22,Data[Label],0))</f>
        <v>77.36</v>
      </c>
      <c r="F22" s="218">
        <f>INDEX(Data[FY2026 TLC],MATCH(A22,Data[Label],0))</f>
        <v>385.29</v>
      </c>
      <c r="G22" s="177">
        <f t="shared" si="3"/>
        <v>3459491</v>
      </c>
      <c r="H22" s="177">
        <f t="shared" si="4"/>
        <v>386780</v>
      </c>
      <c r="I22" s="177">
        <f t="shared" si="5"/>
        <v>360498</v>
      </c>
      <c r="J22" s="177">
        <f t="shared" si="6"/>
        <v>1795451</v>
      </c>
      <c r="K22" s="177">
        <f>INDEX(Data[FY2026 TSS Budget Guarantee],MATCH(A22,Data[Label],0))+INDEX(Data[FY2026 PD Budget Guarantee],MATCH(A22,Data[Label],0))+INDEX(Data[FY2026 Early Intervention Budget Guarantee],MATCH(A22,Data[Label],0))+INDEX(Data[FY2026 TLC Budget Gurantee],MATCH(A22,Data[Label],0))</f>
        <v>0</v>
      </c>
      <c r="L22" s="177">
        <f t="shared" si="7"/>
        <v>6002220</v>
      </c>
      <c r="M22" s="176">
        <f>INDEX(Data[FY2027 Budget Enrollment],MATCH(A22,Data[Label],0))+INDEX(Data[FY2027 ESAs],MATCH(A22,Data[Label],0))</f>
        <v>4631.8999999999996</v>
      </c>
      <c r="N22" s="218">
        <f t="shared" si="8"/>
        <v>756.07</v>
      </c>
      <c r="O22" s="218">
        <f t="shared" si="9"/>
        <v>84.55</v>
      </c>
      <c r="P22" s="218">
        <f t="shared" si="10"/>
        <v>79.05</v>
      </c>
      <c r="Q22" s="218">
        <f t="shared" si="11"/>
        <v>393</v>
      </c>
      <c r="R22" s="177">
        <f t="shared" si="17"/>
        <v>3502041</v>
      </c>
      <c r="S22" s="177">
        <f t="shared" si="18"/>
        <v>391627</v>
      </c>
      <c r="T22" s="177">
        <f t="shared" si="19"/>
        <v>366152</v>
      </c>
      <c r="U22" s="177">
        <f t="shared" ref="U22" si="30">ROUND($M22*Q22,0)</f>
        <v>1820337</v>
      </c>
      <c r="V22" s="177">
        <f t="shared" si="12"/>
        <v>0</v>
      </c>
      <c r="W22" s="177">
        <f t="shared" si="13"/>
        <v>6080157</v>
      </c>
      <c r="X22" s="177">
        <f t="shared" si="14"/>
        <v>77937</v>
      </c>
      <c r="Y22" s="178">
        <f t="shared" si="15"/>
        <v>1.2984695662604837E-2</v>
      </c>
      <c r="Z22" s="179">
        <f t="shared" si="2"/>
        <v>-28.100000000000364</v>
      </c>
      <c r="AA22" s="180">
        <f t="shared" si="16"/>
        <v>-6.0300429184550136E-3</v>
      </c>
    </row>
    <row r="23" spans="1:27" x14ac:dyDescent="0.55000000000000004">
      <c r="A23" s="229" t="s">
        <v>16</v>
      </c>
      <c r="B23" s="181">
        <f>INDEX(Data[FY2026 Budget Enrollment],MATCH(A23,Data[Label],0))+INDEX(Data[FY2026 ESA],MATCH(A23,Data[Label],0))</f>
        <v>1249.2</v>
      </c>
      <c r="C23" s="91">
        <f>INDEX(Data[FY2026 TSS],MATCH(A23,Data[Label],0))</f>
        <v>1052.26</v>
      </c>
      <c r="D23" s="91">
        <f>INDEX(Data[FY2026 PD],MATCH(A23,Data[Label],0))</f>
        <v>84.15</v>
      </c>
      <c r="E23" s="91">
        <f>INDEX(Data[FY2026 Early Intervention],MATCH(A23,Data[Label],0))</f>
        <v>76.58</v>
      </c>
      <c r="F23" s="91">
        <f>INDEX(Data[FY2026 TLC],MATCH(A23,Data[Label],0))</f>
        <v>385.29</v>
      </c>
      <c r="G23" s="182">
        <f t="shared" si="3"/>
        <v>1314483</v>
      </c>
      <c r="H23" s="182">
        <f t="shared" si="4"/>
        <v>105120</v>
      </c>
      <c r="I23" s="182">
        <f t="shared" si="5"/>
        <v>95664</v>
      </c>
      <c r="J23" s="182">
        <f t="shared" si="6"/>
        <v>481304</v>
      </c>
      <c r="K23" s="182">
        <f>INDEX(Data[FY2026 TSS Budget Guarantee],MATCH(A23,Data[Label],0))+INDEX(Data[FY2026 PD Budget Guarantee],MATCH(A23,Data[Label],0))+INDEX(Data[FY2026 Early Intervention Budget Guarantee],MATCH(A23,Data[Label],0))+INDEX(Data[FY2026 TLC Budget Gurantee],MATCH(A23,Data[Label],0))</f>
        <v>5117</v>
      </c>
      <c r="L23" s="182">
        <f t="shared" si="7"/>
        <v>2001688</v>
      </c>
      <c r="M23" s="181">
        <f>INDEX(Data[FY2027 Budget Enrollment],MATCH(A23,Data[Label],0))+INDEX(Data[FY2027 ESAs],MATCH(A23,Data[Label],0))</f>
        <v>1267.7</v>
      </c>
      <c r="N23" s="91">
        <f t="shared" si="8"/>
        <v>1065.95</v>
      </c>
      <c r="O23" s="91">
        <f t="shared" si="9"/>
        <v>85.7</v>
      </c>
      <c r="P23" s="91">
        <f t="shared" si="10"/>
        <v>78.27</v>
      </c>
      <c r="Q23" s="91">
        <f t="shared" si="11"/>
        <v>393</v>
      </c>
      <c r="R23" s="182">
        <f t="shared" si="17"/>
        <v>1351305</v>
      </c>
      <c r="S23" s="182">
        <f t="shared" si="18"/>
        <v>108642</v>
      </c>
      <c r="T23" s="182">
        <f t="shared" si="19"/>
        <v>99223</v>
      </c>
      <c r="U23" s="182">
        <f t="shared" ref="U23" si="31">ROUND($M23*Q23,)</f>
        <v>498206</v>
      </c>
      <c r="V23" s="182">
        <f t="shared" si="12"/>
        <v>0</v>
      </c>
      <c r="W23" s="182">
        <f t="shared" si="13"/>
        <v>2057376</v>
      </c>
      <c r="X23" s="182">
        <f t="shared" si="14"/>
        <v>55688</v>
      </c>
      <c r="Y23" s="183">
        <f t="shared" si="15"/>
        <v>2.7820519481557567E-2</v>
      </c>
      <c r="Z23" s="184">
        <f t="shared" si="2"/>
        <v>18.5</v>
      </c>
      <c r="AA23" s="185">
        <f t="shared" si="16"/>
        <v>1.4809478065962216E-2</v>
      </c>
    </row>
    <row r="24" spans="1:27" x14ac:dyDescent="0.55000000000000004">
      <c r="A24" s="230" t="s">
        <v>17</v>
      </c>
      <c r="B24" s="176">
        <f>INDEX(Data[FY2026 Budget Enrollment],MATCH(A24,Data[Label],0))+INDEX(Data[FY2026 ESA],MATCH(A24,Data[Label],0))</f>
        <v>238.3</v>
      </c>
      <c r="C24" s="218">
        <f>INDEX(Data[FY2026 TSS],MATCH(A24,Data[Label],0))</f>
        <v>1332.64</v>
      </c>
      <c r="D24" s="218">
        <f>INDEX(Data[FY2026 PD],MATCH(A24,Data[Label],0))</f>
        <v>80.62</v>
      </c>
      <c r="E24" s="218">
        <f>INDEX(Data[FY2026 Early Intervention],MATCH(A24,Data[Label],0))</f>
        <v>91.7</v>
      </c>
      <c r="F24" s="218">
        <f>INDEX(Data[FY2026 TLC],MATCH(A24,Data[Label],0))</f>
        <v>385.29</v>
      </c>
      <c r="G24" s="177">
        <f t="shared" si="3"/>
        <v>317568</v>
      </c>
      <c r="H24" s="177">
        <f t="shared" si="4"/>
        <v>19212</v>
      </c>
      <c r="I24" s="177">
        <f t="shared" si="5"/>
        <v>21852</v>
      </c>
      <c r="J24" s="177">
        <f t="shared" si="6"/>
        <v>91815</v>
      </c>
      <c r="K24" s="177">
        <f>INDEX(Data[FY2026 TSS Budget Guarantee],MATCH(A24,Data[Label],0))+INDEX(Data[FY2026 PD Budget Guarantee],MATCH(A24,Data[Label],0))+INDEX(Data[FY2026 Early Intervention Budget Guarantee],MATCH(A24,Data[Label],0))+INDEX(Data[FY2026 TLC Budget Gurantee],MATCH(A24,Data[Label],0))</f>
        <v>0</v>
      </c>
      <c r="L24" s="177">
        <f t="shared" si="7"/>
        <v>450447</v>
      </c>
      <c r="M24" s="176">
        <f>INDEX(Data[FY2027 Budget Enrollment],MATCH(A24,Data[Label],0))+INDEX(Data[FY2027 ESAs],MATCH(A24,Data[Label],0))</f>
        <v>250</v>
      </c>
      <c r="N24" s="218">
        <f t="shared" si="8"/>
        <v>1346.3300000000002</v>
      </c>
      <c r="O24" s="218">
        <f t="shared" si="9"/>
        <v>82.17</v>
      </c>
      <c r="P24" s="218">
        <f t="shared" si="10"/>
        <v>93.39</v>
      </c>
      <c r="Q24" s="218">
        <f t="shared" si="11"/>
        <v>393</v>
      </c>
      <c r="R24" s="177">
        <f t="shared" si="17"/>
        <v>336583</v>
      </c>
      <c r="S24" s="177">
        <f t="shared" si="18"/>
        <v>20543</v>
      </c>
      <c r="T24" s="177">
        <f t="shared" si="19"/>
        <v>23348</v>
      </c>
      <c r="U24" s="177">
        <f t="shared" ref="U24" si="32">ROUND($M24*Q24,0)</f>
        <v>98250</v>
      </c>
      <c r="V24" s="177">
        <f t="shared" si="12"/>
        <v>0</v>
      </c>
      <c r="W24" s="177">
        <f t="shared" si="13"/>
        <v>478724</v>
      </c>
      <c r="X24" s="177">
        <f t="shared" si="14"/>
        <v>28277</v>
      </c>
      <c r="Y24" s="178">
        <f t="shared" si="15"/>
        <v>6.2775420859723791E-2</v>
      </c>
      <c r="Z24" s="179">
        <f t="shared" si="2"/>
        <v>11.699999999999989</v>
      </c>
      <c r="AA24" s="180">
        <f t="shared" si="16"/>
        <v>4.9097775912715018E-2</v>
      </c>
    </row>
    <row r="25" spans="1:27" x14ac:dyDescent="0.55000000000000004">
      <c r="A25" s="229" t="s">
        <v>18</v>
      </c>
      <c r="B25" s="181">
        <f>INDEX(Data[FY2026 Budget Enrollment],MATCH(A25,Data[Label],0))+INDEX(Data[FY2026 ESA],MATCH(A25,Data[Label],0))</f>
        <v>13529.8</v>
      </c>
      <c r="C25" s="91">
        <f>INDEX(Data[FY2026 TSS],MATCH(A25,Data[Label],0))</f>
        <v>714.22</v>
      </c>
      <c r="D25" s="91">
        <f>INDEX(Data[FY2026 PD],MATCH(A25,Data[Label],0))</f>
        <v>70.06</v>
      </c>
      <c r="E25" s="91">
        <f>INDEX(Data[FY2026 Early Intervention],MATCH(A25,Data[Label],0))</f>
        <v>73.94</v>
      </c>
      <c r="F25" s="91">
        <f>INDEX(Data[FY2026 TLC],MATCH(A25,Data[Label],0))</f>
        <v>385.29</v>
      </c>
      <c r="G25" s="182">
        <f t="shared" si="3"/>
        <v>9663254</v>
      </c>
      <c r="H25" s="182">
        <f t="shared" si="4"/>
        <v>947898</v>
      </c>
      <c r="I25" s="182">
        <f t="shared" si="5"/>
        <v>1000393</v>
      </c>
      <c r="J25" s="182">
        <f t="shared" si="6"/>
        <v>5212897</v>
      </c>
      <c r="K25" s="182">
        <f>INDEX(Data[FY2026 TSS Budget Guarantee],MATCH(A25,Data[Label],0))+INDEX(Data[FY2026 PD Budget Guarantee],MATCH(A25,Data[Label],0))+INDEX(Data[FY2026 Early Intervention Budget Guarantee],MATCH(A25,Data[Label],0))+INDEX(Data[FY2026 TLC Budget Gurantee],MATCH(A25,Data[Label],0))</f>
        <v>0</v>
      </c>
      <c r="L25" s="182">
        <f t="shared" si="7"/>
        <v>16824442</v>
      </c>
      <c r="M25" s="181">
        <f>INDEX(Data[FY2027 Budget Enrollment],MATCH(A25,Data[Label],0))+INDEX(Data[FY2027 ESAs],MATCH(A25,Data[Label],0))</f>
        <v>14008</v>
      </c>
      <c r="N25" s="91">
        <f t="shared" si="8"/>
        <v>727.91000000000008</v>
      </c>
      <c r="O25" s="91">
        <f t="shared" si="9"/>
        <v>71.61</v>
      </c>
      <c r="P25" s="91">
        <f t="shared" si="10"/>
        <v>75.63</v>
      </c>
      <c r="Q25" s="91">
        <f t="shared" si="11"/>
        <v>393</v>
      </c>
      <c r="R25" s="182">
        <f t="shared" si="17"/>
        <v>10196563</v>
      </c>
      <c r="S25" s="182">
        <f t="shared" si="18"/>
        <v>1003113</v>
      </c>
      <c r="T25" s="182">
        <f t="shared" si="19"/>
        <v>1059425</v>
      </c>
      <c r="U25" s="182">
        <f t="shared" ref="U25" si="33">ROUND($M25*Q25,)</f>
        <v>5505144</v>
      </c>
      <c r="V25" s="182">
        <f t="shared" si="12"/>
        <v>0</v>
      </c>
      <c r="W25" s="182">
        <f t="shared" si="13"/>
        <v>17764245</v>
      </c>
      <c r="X25" s="182">
        <f t="shared" si="14"/>
        <v>939803</v>
      </c>
      <c r="Y25" s="183">
        <f t="shared" si="15"/>
        <v>5.5859386005194113E-2</v>
      </c>
      <c r="Z25" s="184">
        <f t="shared" si="2"/>
        <v>478.20000000000073</v>
      </c>
      <c r="AA25" s="185">
        <f t="shared" si="16"/>
        <v>3.5344203166343978E-2</v>
      </c>
    </row>
    <row r="26" spans="1:27" x14ac:dyDescent="0.55000000000000004">
      <c r="A26" s="230" t="s">
        <v>19</v>
      </c>
      <c r="B26" s="176">
        <f>INDEX(Data[FY2026 Budget Enrollment],MATCH(A26,Data[Label],0))+INDEX(Data[FY2026 ESA],MATCH(A26,Data[Label],0))</f>
        <v>818.2</v>
      </c>
      <c r="C26" s="218">
        <f>INDEX(Data[FY2026 TSS],MATCH(A26,Data[Label],0))</f>
        <v>1014.71</v>
      </c>
      <c r="D26" s="218">
        <f>INDEX(Data[FY2026 PD],MATCH(A26,Data[Label],0))</f>
        <v>79.48</v>
      </c>
      <c r="E26" s="218">
        <f>INDEX(Data[FY2026 Early Intervention],MATCH(A26,Data[Label],0))</f>
        <v>92.37</v>
      </c>
      <c r="F26" s="218">
        <f>INDEX(Data[FY2026 TLC],MATCH(A26,Data[Label],0))</f>
        <v>385.29</v>
      </c>
      <c r="G26" s="177">
        <f t="shared" si="3"/>
        <v>830236</v>
      </c>
      <c r="H26" s="177">
        <f t="shared" si="4"/>
        <v>65031</v>
      </c>
      <c r="I26" s="177">
        <f t="shared" si="5"/>
        <v>75577</v>
      </c>
      <c r="J26" s="177">
        <f t="shared" si="6"/>
        <v>315244</v>
      </c>
      <c r="K26" s="177">
        <f>INDEX(Data[FY2026 TSS Budget Guarantee],MATCH(A26,Data[Label],0))+INDEX(Data[FY2026 PD Budget Guarantee],MATCH(A26,Data[Label],0))+INDEX(Data[FY2026 Early Intervention Budget Guarantee],MATCH(A26,Data[Label],0))+INDEX(Data[FY2026 TLC Budget Gurantee],MATCH(A26,Data[Label],0))</f>
        <v>0</v>
      </c>
      <c r="L26" s="177">
        <f t="shared" si="7"/>
        <v>1286088</v>
      </c>
      <c r="M26" s="176">
        <f>INDEX(Data[FY2027 Budget Enrollment],MATCH(A26,Data[Label],0))+INDEX(Data[FY2027 ESAs],MATCH(A26,Data[Label],0))</f>
        <v>801</v>
      </c>
      <c r="N26" s="218">
        <f t="shared" si="8"/>
        <v>1028.4000000000001</v>
      </c>
      <c r="O26" s="218">
        <f t="shared" si="9"/>
        <v>81.03</v>
      </c>
      <c r="P26" s="218">
        <f t="shared" si="10"/>
        <v>94.06</v>
      </c>
      <c r="Q26" s="218">
        <f t="shared" si="11"/>
        <v>393</v>
      </c>
      <c r="R26" s="177">
        <f t="shared" si="17"/>
        <v>823748</v>
      </c>
      <c r="S26" s="177">
        <f t="shared" si="18"/>
        <v>64905</v>
      </c>
      <c r="T26" s="177">
        <f t="shared" si="19"/>
        <v>75342</v>
      </c>
      <c r="U26" s="177">
        <f t="shared" ref="U26" si="34">ROUND($M26*Q26,0)</f>
        <v>314793</v>
      </c>
      <c r="V26" s="177">
        <f t="shared" si="12"/>
        <v>7300</v>
      </c>
      <c r="W26" s="177">
        <f t="shared" si="13"/>
        <v>1286088</v>
      </c>
      <c r="X26" s="177">
        <f t="shared" si="14"/>
        <v>0</v>
      </c>
      <c r="Y26" s="178">
        <f t="shared" si="15"/>
        <v>0</v>
      </c>
      <c r="Z26" s="179">
        <f t="shared" si="2"/>
        <v>-17.200000000000045</v>
      </c>
      <c r="AA26" s="180">
        <f t="shared" si="16"/>
        <v>-2.1021755072109564E-2</v>
      </c>
    </row>
    <row r="27" spans="1:27" x14ac:dyDescent="0.55000000000000004">
      <c r="A27" s="229" t="s">
        <v>20</v>
      </c>
      <c r="B27" s="181">
        <f>INDEX(Data[FY2026 Budget Enrollment],MATCH(A27,Data[Label],0))+INDEX(Data[FY2026 ESA],MATCH(A27,Data[Label],0))</f>
        <v>338.7</v>
      </c>
      <c r="C27" s="91">
        <f>INDEX(Data[FY2026 TSS],MATCH(A27,Data[Label],0))</f>
        <v>1273.48</v>
      </c>
      <c r="D27" s="91">
        <f>INDEX(Data[FY2026 PD],MATCH(A27,Data[Label],0))</f>
        <v>71.53</v>
      </c>
      <c r="E27" s="91">
        <f>INDEX(Data[FY2026 Early Intervention],MATCH(A27,Data[Label],0))</f>
        <v>73.97</v>
      </c>
      <c r="F27" s="91">
        <f>INDEX(Data[FY2026 TLC],MATCH(A27,Data[Label],0))</f>
        <v>385.29</v>
      </c>
      <c r="G27" s="182">
        <f t="shared" si="3"/>
        <v>431328</v>
      </c>
      <c r="H27" s="182">
        <f t="shared" si="4"/>
        <v>24227</v>
      </c>
      <c r="I27" s="182">
        <f t="shared" si="5"/>
        <v>25054</v>
      </c>
      <c r="J27" s="182">
        <f t="shared" si="6"/>
        <v>130498</v>
      </c>
      <c r="K27" s="182">
        <f>INDEX(Data[FY2026 TSS Budget Guarantee],MATCH(A27,Data[Label],0))+INDEX(Data[FY2026 PD Budget Guarantee],MATCH(A27,Data[Label],0))+INDEX(Data[FY2026 Early Intervention Budget Guarantee],MATCH(A27,Data[Label],0))+INDEX(Data[FY2026 TLC Budget Gurantee],MATCH(A27,Data[Label],0))</f>
        <v>0</v>
      </c>
      <c r="L27" s="182">
        <f t="shared" si="7"/>
        <v>611107</v>
      </c>
      <c r="M27" s="181">
        <f>INDEX(Data[FY2027 Budget Enrollment],MATCH(A27,Data[Label],0))+INDEX(Data[FY2027 ESAs],MATCH(A27,Data[Label],0))</f>
        <v>330.6</v>
      </c>
      <c r="N27" s="91">
        <f t="shared" si="8"/>
        <v>1287.17</v>
      </c>
      <c r="O27" s="91">
        <f t="shared" si="9"/>
        <v>73.08</v>
      </c>
      <c r="P27" s="91">
        <f t="shared" si="10"/>
        <v>75.66</v>
      </c>
      <c r="Q27" s="91">
        <f t="shared" si="11"/>
        <v>393</v>
      </c>
      <c r="R27" s="182">
        <f t="shared" si="17"/>
        <v>425538</v>
      </c>
      <c r="S27" s="182">
        <f t="shared" si="18"/>
        <v>24160</v>
      </c>
      <c r="T27" s="182">
        <f t="shared" si="19"/>
        <v>25013</v>
      </c>
      <c r="U27" s="182">
        <f t="shared" ref="U27" si="35">ROUND($M27*Q27,)</f>
        <v>129926</v>
      </c>
      <c r="V27" s="182">
        <f t="shared" si="12"/>
        <v>6470</v>
      </c>
      <c r="W27" s="182">
        <f t="shared" si="13"/>
        <v>611107</v>
      </c>
      <c r="X27" s="182">
        <f t="shared" si="14"/>
        <v>0</v>
      </c>
      <c r="Y27" s="183">
        <f t="shared" si="15"/>
        <v>0</v>
      </c>
      <c r="Z27" s="184">
        <f t="shared" si="2"/>
        <v>-8.0999999999999659</v>
      </c>
      <c r="AA27" s="185">
        <f t="shared" si="16"/>
        <v>-2.3914968999114161E-2</v>
      </c>
    </row>
    <row r="28" spans="1:27" x14ac:dyDescent="0.55000000000000004">
      <c r="A28" s="230" t="s">
        <v>21</v>
      </c>
      <c r="B28" s="176">
        <f>INDEX(Data[FY2026 Budget Enrollment],MATCH(A28,Data[Label],0))+INDEX(Data[FY2026 ESA],MATCH(A28,Data[Label],0))</f>
        <v>1452.3</v>
      </c>
      <c r="C28" s="218">
        <f>INDEX(Data[FY2026 TSS],MATCH(A28,Data[Label],0))</f>
        <v>865.3</v>
      </c>
      <c r="D28" s="218">
        <f>INDEX(Data[FY2026 PD],MATCH(A28,Data[Label],0))</f>
        <v>81.67</v>
      </c>
      <c r="E28" s="218">
        <f>INDEX(Data[FY2026 Early Intervention],MATCH(A28,Data[Label],0))</f>
        <v>91.12</v>
      </c>
      <c r="F28" s="218">
        <f>INDEX(Data[FY2026 TLC],MATCH(A28,Data[Label],0))</f>
        <v>385.29</v>
      </c>
      <c r="G28" s="177">
        <f t="shared" si="3"/>
        <v>1256675</v>
      </c>
      <c r="H28" s="177">
        <f t="shared" si="4"/>
        <v>118609</v>
      </c>
      <c r="I28" s="177">
        <f t="shared" si="5"/>
        <v>132334</v>
      </c>
      <c r="J28" s="177">
        <f t="shared" si="6"/>
        <v>559557</v>
      </c>
      <c r="K28" s="177">
        <f>INDEX(Data[FY2026 TSS Budget Guarantee],MATCH(A28,Data[Label],0))+INDEX(Data[FY2026 PD Budget Guarantee],MATCH(A28,Data[Label],0))+INDEX(Data[FY2026 Early Intervention Budget Guarantee],MATCH(A28,Data[Label],0))+INDEX(Data[FY2026 TLC Budget Gurantee],MATCH(A28,Data[Label],0))</f>
        <v>0</v>
      </c>
      <c r="L28" s="177">
        <f t="shared" si="7"/>
        <v>2067175</v>
      </c>
      <c r="M28" s="176">
        <f>INDEX(Data[FY2027 Budget Enrollment],MATCH(A28,Data[Label],0))+INDEX(Data[FY2027 ESAs],MATCH(A28,Data[Label],0))</f>
        <v>1375.2</v>
      </c>
      <c r="N28" s="218">
        <f t="shared" si="8"/>
        <v>878.99</v>
      </c>
      <c r="O28" s="218">
        <f t="shared" si="9"/>
        <v>83.22</v>
      </c>
      <c r="P28" s="218">
        <f t="shared" si="10"/>
        <v>92.81</v>
      </c>
      <c r="Q28" s="218">
        <f t="shared" si="11"/>
        <v>393</v>
      </c>
      <c r="R28" s="177">
        <f t="shared" si="17"/>
        <v>1208787</v>
      </c>
      <c r="S28" s="177">
        <f t="shared" si="18"/>
        <v>114444</v>
      </c>
      <c r="T28" s="177">
        <f t="shared" si="19"/>
        <v>127632</v>
      </c>
      <c r="U28" s="177">
        <f t="shared" ref="U28" si="36">ROUND($M28*Q28,0)</f>
        <v>540454</v>
      </c>
      <c r="V28" s="177">
        <f t="shared" si="12"/>
        <v>75858</v>
      </c>
      <c r="W28" s="177">
        <f t="shared" si="13"/>
        <v>2067175</v>
      </c>
      <c r="X28" s="177">
        <f t="shared" si="14"/>
        <v>0</v>
      </c>
      <c r="Y28" s="178">
        <f t="shared" si="15"/>
        <v>0</v>
      </c>
      <c r="Z28" s="179">
        <f t="shared" si="2"/>
        <v>-77.099999999999909</v>
      </c>
      <c r="AA28" s="180">
        <f t="shared" si="16"/>
        <v>-5.3088204916339539E-2</v>
      </c>
    </row>
    <row r="29" spans="1:27" x14ac:dyDescent="0.55000000000000004">
      <c r="A29" s="229" t="s">
        <v>22</v>
      </c>
      <c r="B29" s="181">
        <f>INDEX(Data[FY2026 Budget Enrollment],MATCH(A29,Data[Label],0))+INDEX(Data[FY2026 ESA],MATCH(A29,Data[Label],0))</f>
        <v>501.5</v>
      </c>
      <c r="C29" s="91">
        <f>INDEX(Data[FY2026 TSS],MATCH(A29,Data[Label],0))</f>
        <v>1147.79</v>
      </c>
      <c r="D29" s="91">
        <f>INDEX(Data[FY2026 PD],MATCH(A29,Data[Label],0))</f>
        <v>81.010000000000005</v>
      </c>
      <c r="E29" s="91">
        <f>INDEX(Data[FY2026 Early Intervention],MATCH(A29,Data[Label],0))</f>
        <v>74.86</v>
      </c>
      <c r="F29" s="91">
        <f>INDEX(Data[FY2026 TLC],MATCH(A29,Data[Label],0))</f>
        <v>385.29</v>
      </c>
      <c r="G29" s="182">
        <f t="shared" si="3"/>
        <v>575617</v>
      </c>
      <c r="H29" s="182">
        <f t="shared" si="4"/>
        <v>40627</v>
      </c>
      <c r="I29" s="182">
        <f t="shared" si="5"/>
        <v>37542</v>
      </c>
      <c r="J29" s="182">
        <f t="shared" si="6"/>
        <v>193223</v>
      </c>
      <c r="K29" s="182">
        <f>INDEX(Data[FY2026 TSS Budget Guarantee],MATCH(A29,Data[Label],0))+INDEX(Data[FY2026 PD Budget Guarantee],MATCH(A29,Data[Label],0))+INDEX(Data[FY2026 Early Intervention Budget Guarantee],MATCH(A29,Data[Label],0))+INDEX(Data[FY2026 TLC Budget Gurantee],MATCH(A29,Data[Label],0))</f>
        <v>2576</v>
      </c>
      <c r="L29" s="182">
        <f t="shared" si="7"/>
        <v>849585</v>
      </c>
      <c r="M29" s="181">
        <f>INDEX(Data[FY2027 Budget Enrollment],MATCH(A29,Data[Label],0))+INDEX(Data[FY2027 ESAs],MATCH(A29,Data[Label],0))</f>
        <v>530.1</v>
      </c>
      <c r="N29" s="91">
        <f t="shared" si="8"/>
        <v>1161.48</v>
      </c>
      <c r="O29" s="91">
        <f t="shared" si="9"/>
        <v>82.56</v>
      </c>
      <c r="P29" s="91">
        <f t="shared" si="10"/>
        <v>76.55</v>
      </c>
      <c r="Q29" s="91">
        <f t="shared" si="11"/>
        <v>393</v>
      </c>
      <c r="R29" s="182">
        <f t="shared" si="17"/>
        <v>615701</v>
      </c>
      <c r="S29" s="182">
        <f t="shared" si="18"/>
        <v>43765</v>
      </c>
      <c r="T29" s="182">
        <f t="shared" si="19"/>
        <v>40579</v>
      </c>
      <c r="U29" s="182">
        <f t="shared" ref="U29" si="37">ROUND($M29*Q29,)</f>
        <v>208329</v>
      </c>
      <c r="V29" s="182">
        <f t="shared" si="12"/>
        <v>0</v>
      </c>
      <c r="W29" s="182">
        <f t="shared" si="13"/>
        <v>908374</v>
      </c>
      <c r="X29" s="182">
        <f t="shared" si="14"/>
        <v>58789</v>
      </c>
      <c r="Y29" s="183">
        <f t="shared" si="15"/>
        <v>6.9197313982709202E-2</v>
      </c>
      <c r="Z29" s="184">
        <f t="shared" si="2"/>
        <v>28.600000000000023</v>
      </c>
      <c r="AA29" s="185">
        <f t="shared" si="16"/>
        <v>5.7028913260219388E-2</v>
      </c>
    </row>
    <row r="30" spans="1:27" x14ac:dyDescent="0.55000000000000004">
      <c r="A30" s="230" t="s">
        <v>23</v>
      </c>
      <c r="B30" s="176">
        <f>INDEX(Data[FY2026 Budget Enrollment],MATCH(A30,Data[Label],0))+INDEX(Data[FY2026 ESA],MATCH(A30,Data[Label],0))</f>
        <v>447</v>
      </c>
      <c r="C30" s="218">
        <f>INDEX(Data[FY2026 TSS],MATCH(A30,Data[Label],0))</f>
        <v>1329.82</v>
      </c>
      <c r="D30" s="218">
        <f>INDEX(Data[FY2026 PD],MATCH(A30,Data[Label],0))</f>
        <v>77.209999999999994</v>
      </c>
      <c r="E30" s="218">
        <f>INDEX(Data[FY2026 Early Intervention],MATCH(A30,Data[Label],0))</f>
        <v>75.209999999999994</v>
      </c>
      <c r="F30" s="218">
        <f>INDEX(Data[FY2026 TLC],MATCH(A30,Data[Label],0))</f>
        <v>385.29</v>
      </c>
      <c r="G30" s="177">
        <f t="shared" si="3"/>
        <v>594430</v>
      </c>
      <c r="H30" s="177">
        <f t="shared" si="4"/>
        <v>34513</v>
      </c>
      <c r="I30" s="177">
        <f t="shared" si="5"/>
        <v>33619</v>
      </c>
      <c r="J30" s="177">
        <f t="shared" si="6"/>
        <v>172225</v>
      </c>
      <c r="K30" s="177">
        <f>INDEX(Data[FY2026 TSS Budget Guarantee],MATCH(A30,Data[Label],0))+INDEX(Data[FY2026 PD Budget Guarantee],MATCH(A30,Data[Label],0))+INDEX(Data[FY2026 Early Intervention Budget Guarantee],MATCH(A30,Data[Label],0))+INDEX(Data[FY2026 TLC Budget Gurantee],MATCH(A30,Data[Label],0))</f>
        <v>0</v>
      </c>
      <c r="L30" s="177">
        <f t="shared" si="7"/>
        <v>834787</v>
      </c>
      <c r="M30" s="176">
        <f>INDEX(Data[FY2027 Budget Enrollment],MATCH(A30,Data[Label],0))+INDEX(Data[FY2027 ESAs],MATCH(A30,Data[Label],0))</f>
        <v>435.1</v>
      </c>
      <c r="N30" s="218">
        <f t="shared" si="8"/>
        <v>1343.51</v>
      </c>
      <c r="O30" s="218">
        <f t="shared" si="9"/>
        <v>78.759999999999991</v>
      </c>
      <c r="P30" s="218">
        <f t="shared" si="10"/>
        <v>76.899999999999991</v>
      </c>
      <c r="Q30" s="218">
        <f t="shared" si="11"/>
        <v>393</v>
      </c>
      <c r="R30" s="177">
        <f t="shared" si="17"/>
        <v>584561</v>
      </c>
      <c r="S30" s="177">
        <f t="shared" si="18"/>
        <v>34268</v>
      </c>
      <c r="T30" s="177">
        <f t="shared" si="19"/>
        <v>33459</v>
      </c>
      <c r="U30" s="177">
        <f t="shared" ref="U30" si="38">ROUND($M30*Q30,0)</f>
        <v>170994</v>
      </c>
      <c r="V30" s="177">
        <f t="shared" si="12"/>
        <v>11505</v>
      </c>
      <c r="W30" s="177">
        <f t="shared" si="13"/>
        <v>834787</v>
      </c>
      <c r="X30" s="177">
        <f t="shared" si="14"/>
        <v>0</v>
      </c>
      <c r="Y30" s="178">
        <f t="shared" si="15"/>
        <v>0</v>
      </c>
      <c r="Z30" s="179">
        <f t="shared" si="2"/>
        <v>-11.899999999999977</v>
      </c>
      <c r="AA30" s="180">
        <f t="shared" si="16"/>
        <v>-2.6621923937360129E-2</v>
      </c>
    </row>
    <row r="31" spans="1:27" x14ac:dyDescent="0.55000000000000004">
      <c r="A31" s="229" t="s">
        <v>24</v>
      </c>
      <c r="B31" s="181">
        <f>INDEX(Data[FY2026 Budget Enrollment],MATCH(A31,Data[Label],0))+INDEX(Data[FY2026 ESA],MATCH(A31,Data[Label],0))</f>
        <v>1801.4</v>
      </c>
      <c r="C31" s="91">
        <f>INDEX(Data[FY2026 TSS],MATCH(A31,Data[Label],0))</f>
        <v>783.94</v>
      </c>
      <c r="D31" s="91">
        <f>INDEX(Data[FY2026 PD],MATCH(A31,Data[Label],0))</f>
        <v>68.95</v>
      </c>
      <c r="E31" s="91">
        <f>INDEX(Data[FY2026 Early Intervention],MATCH(A31,Data[Label],0))</f>
        <v>80.290000000000006</v>
      </c>
      <c r="F31" s="91">
        <f>INDEX(Data[FY2026 TLC],MATCH(A31,Data[Label],0))</f>
        <v>385.29</v>
      </c>
      <c r="G31" s="182">
        <f t="shared" si="3"/>
        <v>1412190</v>
      </c>
      <c r="H31" s="182">
        <f t="shared" si="4"/>
        <v>124207</v>
      </c>
      <c r="I31" s="182">
        <f t="shared" si="5"/>
        <v>144634</v>
      </c>
      <c r="J31" s="182">
        <f t="shared" si="6"/>
        <v>694061</v>
      </c>
      <c r="K31" s="182">
        <f>INDEX(Data[FY2026 TSS Budget Guarantee],MATCH(A31,Data[Label],0))+INDEX(Data[FY2026 PD Budget Guarantee],MATCH(A31,Data[Label],0))+INDEX(Data[FY2026 Early Intervention Budget Guarantee],MATCH(A31,Data[Label],0))+INDEX(Data[FY2026 TLC Budget Gurantee],MATCH(A31,Data[Label],0))</f>
        <v>0</v>
      </c>
      <c r="L31" s="182">
        <f t="shared" si="7"/>
        <v>2375092</v>
      </c>
      <c r="M31" s="181">
        <f>INDEX(Data[FY2027 Budget Enrollment],MATCH(A31,Data[Label],0))+INDEX(Data[FY2027 ESAs],MATCH(A31,Data[Label],0))</f>
        <v>1802.7</v>
      </c>
      <c r="N31" s="91">
        <f t="shared" si="8"/>
        <v>797.63000000000011</v>
      </c>
      <c r="O31" s="91">
        <f t="shared" si="9"/>
        <v>70.5</v>
      </c>
      <c r="P31" s="91">
        <f t="shared" si="10"/>
        <v>81.98</v>
      </c>
      <c r="Q31" s="91">
        <f t="shared" si="11"/>
        <v>393</v>
      </c>
      <c r="R31" s="182">
        <f t="shared" si="17"/>
        <v>1437888</v>
      </c>
      <c r="S31" s="182">
        <f t="shared" si="18"/>
        <v>127090</v>
      </c>
      <c r="T31" s="182">
        <f t="shared" si="19"/>
        <v>147785</v>
      </c>
      <c r="U31" s="182">
        <f t="shared" ref="U31" si="39">ROUND($M31*Q31,)</f>
        <v>708461</v>
      </c>
      <c r="V31" s="182">
        <f t="shared" si="12"/>
        <v>0</v>
      </c>
      <c r="W31" s="182">
        <f t="shared" si="13"/>
        <v>2421224</v>
      </c>
      <c r="X31" s="182">
        <f t="shared" si="14"/>
        <v>46132</v>
      </c>
      <c r="Y31" s="183">
        <f t="shared" si="15"/>
        <v>1.9423247604724365E-2</v>
      </c>
      <c r="Z31" s="184">
        <f t="shared" si="2"/>
        <v>1.2999999999999545</v>
      </c>
      <c r="AA31" s="185">
        <f t="shared" si="16"/>
        <v>7.2166093038745116E-4</v>
      </c>
    </row>
    <row r="32" spans="1:27" x14ac:dyDescent="0.55000000000000004">
      <c r="A32" s="230" t="s">
        <v>25</v>
      </c>
      <c r="B32" s="176">
        <f>INDEX(Data[FY2026 Budget Enrollment],MATCH(A32,Data[Label],0))+INDEX(Data[FY2026 ESA],MATCH(A32,Data[Label],0))</f>
        <v>348.1</v>
      </c>
      <c r="C32" s="218">
        <f>INDEX(Data[FY2026 TSS],MATCH(A32,Data[Label],0))</f>
        <v>1598.87</v>
      </c>
      <c r="D32" s="218">
        <f>INDEX(Data[FY2026 PD],MATCH(A32,Data[Label],0))</f>
        <v>73.83</v>
      </c>
      <c r="E32" s="218">
        <f>INDEX(Data[FY2026 Early Intervention],MATCH(A32,Data[Label],0))</f>
        <v>79.36</v>
      </c>
      <c r="F32" s="218">
        <f>INDEX(Data[FY2026 TLC],MATCH(A32,Data[Label],0))</f>
        <v>385.29</v>
      </c>
      <c r="G32" s="177">
        <f t="shared" si="3"/>
        <v>556567</v>
      </c>
      <c r="H32" s="177">
        <f t="shared" si="4"/>
        <v>25700</v>
      </c>
      <c r="I32" s="177">
        <f t="shared" si="5"/>
        <v>27625</v>
      </c>
      <c r="J32" s="177">
        <f t="shared" si="6"/>
        <v>134119</v>
      </c>
      <c r="K32" s="177">
        <f>INDEX(Data[FY2026 TSS Budget Guarantee],MATCH(A32,Data[Label],0))+INDEX(Data[FY2026 PD Budget Guarantee],MATCH(A32,Data[Label],0))+INDEX(Data[FY2026 Early Intervention Budget Guarantee],MATCH(A32,Data[Label],0))+INDEX(Data[FY2026 TLC Budget Gurantee],MATCH(A32,Data[Label],0))</f>
        <v>0</v>
      </c>
      <c r="L32" s="177">
        <f t="shared" si="7"/>
        <v>744011</v>
      </c>
      <c r="M32" s="176">
        <f>INDEX(Data[FY2027 Budget Enrollment],MATCH(A32,Data[Label],0))+INDEX(Data[FY2027 ESAs],MATCH(A32,Data[Label],0))</f>
        <v>351.1</v>
      </c>
      <c r="N32" s="218">
        <f t="shared" si="8"/>
        <v>1612.56</v>
      </c>
      <c r="O32" s="218">
        <f t="shared" si="9"/>
        <v>75.38</v>
      </c>
      <c r="P32" s="218">
        <f t="shared" si="10"/>
        <v>81.05</v>
      </c>
      <c r="Q32" s="218">
        <f t="shared" si="11"/>
        <v>393</v>
      </c>
      <c r="R32" s="177">
        <f t="shared" si="17"/>
        <v>566170</v>
      </c>
      <c r="S32" s="177">
        <f t="shared" si="18"/>
        <v>26466</v>
      </c>
      <c r="T32" s="177">
        <f t="shared" si="19"/>
        <v>28457</v>
      </c>
      <c r="U32" s="177">
        <f t="shared" ref="U32" si="40">ROUND($M32*Q32,0)</f>
        <v>137982</v>
      </c>
      <c r="V32" s="177">
        <f t="shared" si="12"/>
        <v>0</v>
      </c>
      <c r="W32" s="177">
        <f t="shared" si="13"/>
        <v>759075</v>
      </c>
      <c r="X32" s="177">
        <f t="shared" si="14"/>
        <v>15064</v>
      </c>
      <c r="Y32" s="178">
        <f t="shared" si="15"/>
        <v>2.0247012476966066E-2</v>
      </c>
      <c r="Z32" s="179">
        <f t="shared" si="2"/>
        <v>3</v>
      </c>
      <c r="AA32" s="180">
        <f t="shared" si="16"/>
        <v>8.618213157138753E-3</v>
      </c>
    </row>
    <row r="33" spans="1:27" x14ac:dyDescent="0.55000000000000004">
      <c r="A33" s="229" t="s">
        <v>26</v>
      </c>
      <c r="B33" s="181">
        <f>INDEX(Data[FY2026 Budget Enrollment],MATCH(A33,Data[Label],0))+INDEX(Data[FY2026 ESA],MATCH(A33,Data[Label],0))</f>
        <v>499.5</v>
      </c>
      <c r="C33" s="91">
        <f>INDEX(Data[FY2026 TSS],MATCH(A33,Data[Label],0))</f>
        <v>963.71</v>
      </c>
      <c r="D33" s="91">
        <f>INDEX(Data[FY2026 PD],MATCH(A33,Data[Label],0))</f>
        <v>77.7</v>
      </c>
      <c r="E33" s="91">
        <f>INDEX(Data[FY2026 Early Intervention],MATCH(A33,Data[Label],0))</f>
        <v>85.29</v>
      </c>
      <c r="F33" s="91">
        <f>INDEX(Data[FY2026 TLC],MATCH(A33,Data[Label],0))</f>
        <v>385.29</v>
      </c>
      <c r="G33" s="182">
        <f t="shared" si="3"/>
        <v>481373</v>
      </c>
      <c r="H33" s="182">
        <f t="shared" si="4"/>
        <v>38811</v>
      </c>
      <c r="I33" s="182">
        <f t="shared" si="5"/>
        <v>42602</v>
      </c>
      <c r="J33" s="182">
        <f t="shared" si="6"/>
        <v>192452</v>
      </c>
      <c r="K33" s="182">
        <f>INDEX(Data[FY2026 TSS Budget Guarantee],MATCH(A33,Data[Label],0))+INDEX(Data[FY2026 PD Budget Guarantee],MATCH(A33,Data[Label],0))+INDEX(Data[FY2026 Early Intervention Budget Guarantee],MATCH(A33,Data[Label],0))+INDEX(Data[FY2026 TLC Budget Gurantee],MATCH(A33,Data[Label],0))</f>
        <v>1898</v>
      </c>
      <c r="L33" s="182">
        <f t="shared" si="7"/>
        <v>757136</v>
      </c>
      <c r="M33" s="181">
        <f>INDEX(Data[FY2027 Budget Enrollment],MATCH(A33,Data[Label],0))+INDEX(Data[FY2027 ESAs],MATCH(A33,Data[Label],0))</f>
        <v>513.29999999999995</v>
      </c>
      <c r="N33" s="91">
        <f t="shared" si="8"/>
        <v>977.40000000000009</v>
      </c>
      <c r="O33" s="91">
        <f t="shared" si="9"/>
        <v>79.25</v>
      </c>
      <c r="P33" s="91">
        <f t="shared" si="10"/>
        <v>86.98</v>
      </c>
      <c r="Q33" s="91">
        <f t="shared" si="11"/>
        <v>393</v>
      </c>
      <c r="R33" s="182">
        <f t="shared" si="17"/>
        <v>501699</v>
      </c>
      <c r="S33" s="182">
        <f t="shared" si="18"/>
        <v>40679</v>
      </c>
      <c r="T33" s="182">
        <f t="shared" si="19"/>
        <v>44647</v>
      </c>
      <c r="U33" s="182">
        <f t="shared" ref="U33" si="41">ROUND($M33*Q33,)</f>
        <v>201727</v>
      </c>
      <c r="V33" s="182">
        <f t="shared" si="12"/>
        <v>0</v>
      </c>
      <c r="W33" s="182">
        <f t="shared" si="13"/>
        <v>788752</v>
      </c>
      <c r="X33" s="182">
        <f t="shared" si="14"/>
        <v>31616</v>
      </c>
      <c r="Y33" s="183">
        <f t="shared" si="15"/>
        <v>4.175735931193339E-2</v>
      </c>
      <c r="Z33" s="184">
        <f t="shared" si="2"/>
        <v>13.799999999999955</v>
      </c>
      <c r="AA33" s="185">
        <f t="shared" si="16"/>
        <v>2.7627627627627535E-2</v>
      </c>
    </row>
    <row r="34" spans="1:27" x14ac:dyDescent="0.55000000000000004">
      <c r="A34" s="230" t="s">
        <v>27</v>
      </c>
      <c r="B34" s="176">
        <f>INDEX(Data[FY2026 Budget Enrollment],MATCH(A34,Data[Label],0))+INDEX(Data[FY2026 ESA],MATCH(A34,Data[Label],0))</f>
        <v>467.6</v>
      </c>
      <c r="C34" s="218">
        <f>INDEX(Data[FY2026 TSS],MATCH(A34,Data[Label],0))</f>
        <v>1359.59</v>
      </c>
      <c r="D34" s="218">
        <f>INDEX(Data[FY2026 PD],MATCH(A34,Data[Label],0))</f>
        <v>68.540000000000006</v>
      </c>
      <c r="E34" s="218">
        <f>INDEX(Data[FY2026 Early Intervention],MATCH(A34,Data[Label],0))</f>
        <v>70.37</v>
      </c>
      <c r="F34" s="218">
        <f>INDEX(Data[FY2026 TLC],MATCH(A34,Data[Label],0))</f>
        <v>385.29</v>
      </c>
      <c r="G34" s="177">
        <f t="shared" si="3"/>
        <v>635744</v>
      </c>
      <c r="H34" s="177">
        <f t="shared" si="4"/>
        <v>32049</v>
      </c>
      <c r="I34" s="177">
        <f t="shared" si="5"/>
        <v>32905</v>
      </c>
      <c r="J34" s="177">
        <f t="shared" si="6"/>
        <v>180162</v>
      </c>
      <c r="K34" s="177">
        <f>INDEX(Data[FY2026 TSS Budget Guarantee],MATCH(A34,Data[Label],0))+INDEX(Data[FY2026 PD Budget Guarantee],MATCH(A34,Data[Label],0))+INDEX(Data[FY2026 Early Intervention Budget Guarantee],MATCH(A34,Data[Label],0))+INDEX(Data[FY2026 TLC Budget Gurantee],MATCH(A34,Data[Label],0))</f>
        <v>0</v>
      </c>
      <c r="L34" s="177">
        <f t="shared" si="7"/>
        <v>880860</v>
      </c>
      <c r="M34" s="176">
        <f>INDEX(Data[FY2027 Budget Enrollment],MATCH(A34,Data[Label],0))+INDEX(Data[FY2027 ESAs],MATCH(A34,Data[Label],0))</f>
        <v>470.3</v>
      </c>
      <c r="N34" s="218">
        <f t="shared" si="8"/>
        <v>1373.28</v>
      </c>
      <c r="O34" s="218">
        <f t="shared" si="9"/>
        <v>70.09</v>
      </c>
      <c r="P34" s="218">
        <f t="shared" si="10"/>
        <v>72.06</v>
      </c>
      <c r="Q34" s="218">
        <f t="shared" si="11"/>
        <v>393</v>
      </c>
      <c r="R34" s="177">
        <f t="shared" si="17"/>
        <v>645854</v>
      </c>
      <c r="S34" s="177">
        <f t="shared" si="18"/>
        <v>32963</v>
      </c>
      <c r="T34" s="177">
        <f t="shared" si="19"/>
        <v>33890</v>
      </c>
      <c r="U34" s="177">
        <f t="shared" ref="U34" si="42">ROUND($M34*Q34,0)</f>
        <v>184828</v>
      </c>
      <c r="V34" s="177">
        <f t="shared" si="12"/>
        <v>0</v>
      </c>
      <c r="W34" s="177">
        <f t="shared" si="13"/>
        <v>897535</v>
      </c>
      <c r="X34" s="177">
        <f t="shared" si="14"/>
        <v>16675</v>
      </c>
      <c r="Y34" s="178">
        <f t="shared" si="15"/>
        <v>1.8930363508389527E-2</v>
      </c>
      <c r="Z34" s="179">
        <f t="shared" si="2"/>
        <v>2.6999999999999886</v>
      </c>
      <c r="AA34" s="180">
        <f t="shared" si="16"/>
        <v>5.7741659538066478E-3</v>
      </c>
    </row>
    <row r="35" spans="1:27" x14ac:dyDescent="0.55000000000000004">
      <c r="A35" s="229" t="s">
        <v>28</v>
      </c>
      <c r="B35" s="181">
        <f>INDEX(Data[FY2026 Budget Enrollment],MATCH(A35,Data[Label],0))+INDEX(Data[FY2026 ESA],MATCH(A35,Data[Label],0))</f>
        <v>734.7</v>
      </c>
      <c r="C35" s="91">
        <f>INDEX(Data[FY2026 TSS],MATCH(A35,Data[Label],0))</f>
        <v>1005.03</v>
      </c>
      <c r="D35" s="91">
        <f>INDEX(Data[FY2026 PD],MATCH(A35,Data[Label],0))</f>
        <v>78.12</v>
      </c>
      <c r="E35" s="91">
        <f>INDEX(Data[FY2026 Early Intervention],MATCH(A35,Data[Label],0))</f>
        <v>73.94</v>
      </c>
      <c r="F35" s="91">
        <f>INDEX(Data[FY2026 TLC],MATCH(A35,Data[Label],0))</f>
        <v>385.29</v>
      </c>
      <c r="G35" s="182">
        <f t="shared" si="3"/>
        <v>738396</v>
      </c>
      <c r="H35" s="182">
        <f t="shared" si="4"/>
        <v>57395</v>
      </c>
      <c r="I35" s="182">
        <f t="shared" si="5"/>
        <v>54324</v>
      </c>
      <c r="J35" s="182">
        <f t="shared" si="6"/>
        <v>283073</v>
      </c>
      <c r="K35" s="182">
        <f>INDEX(Data[FY2026 TSS Budget Guarantee],MATCH(A35,Data[Label],0))+INDEX(Data[FY2026 PD Budget Guarantee],MATCH(A35,Data[Label],0))+INDEX(Data[FY2026 Early Intervention Budget Guarantee],MATCH(A35,Data[Label],0))+INDEX(Data[FY2026 TLC Budget Gurantee],MATCH(A35,Data[Label],0))</f>
        <v>0</v>
      </c>
      <c r="L35" s="182">
        <f t="shared" si="7"/>
        <v>1133188</v>
      </c>
      <c r="M35" s="181">
        <f>INDEX(Data[FY2027 Budget Enrollment],MATCH(A35,Data[Label],0))+INDEX(Data[FY2027 ESAs],MATCH(A35,Data[Label],0))</f>
        <v>791.2</v>
      </c>
      <c r="N35" s="91">
        <f t="shared" si="8"/>
        <v>1018.72</v>
      </c>
      <c r="O35" s="91">
        <f t="shared" si="9"/>
        <v>79.67</v>
      </c>
      <c r="P35" s="91">
        <f t="shared" si="10"/>
        <v>75.63</v>
      </c>
      <c r="Q35" s="91">
        <f t="shared" si="11"/>
        <v>393</v>
      </c>
      <c r="R35" s="182">
        <f t="shared" si="17"/>
        <v>806011</v>
      </c>
      <c r="S35" s="182">
        <f t="shared" si="18"/>
        <v>63035</v>
      </c>
      <c r="T35" s="182">
        <f t="shared" si="19"/>
        <v>59838</v>
      </c>
      <c r="U35" s="182">
        <f t="shared" ref="U35" si="43">ROUND($M35*Q35,)</f>
        <v>310942</v>
      </c>
      <c r="V35" s="182">
        <f t="shared" si="12"/>
        <v>0</v>
      </c>
      <c r="W35" s="182">
        <f t="shared" si="13"/>
        <v>1239826</v>
      </c>
      <c r="X35" s="182">
        <f t="shared" si="14"/>
        <v>106638</v>
      </c>
      <c r="Y35" s="183">
        <f t="shared" si="15"/>
        <v>9.4104420449210552E-2</v>
      </c>
      <c r="Z35" s="184">
        <f t="shared" si="2"/>
        <v>56.5</v>
      </c>
      <c r="AA35" s="185">
        <f t="shared" si="16"/>
        <v>7.6902136926636722E-2</v>
      </c>
    </row>
    <row r="36" spans="1:27" x14ac:dyDescent="0.55000000000000004">
      <c r="A36" s="230" t="s">
        <v>29</v>
      </c>
      <c r="B36" s="176">
        <f>INDEX(Data[FY2026 Budget Enrollment],MATCH(A36,Data[Label],0))+INDEX(Data[FY2026 ESA],MATCH(A36,Data[Label],0))</f>
        <v>705.4</v>
      </c>
      <c r="C36" s="218">
        <f>INDEX(Data[FY2026 TSS],MATCH(A36,Data[Label],0))</f>
        <v>1015.19</v>
      </c>
      <c r="D36" s="218">
        <f>INDEX(Data[FY2026 PD],MATCH(A36,Data[Label],0))</f>
        <v>72.92</v>
      </c>
      <c r="E36" s="218">
        <f>INDEX(Data[FY2026 Early Intervention],MATCH(A36,Data[Label],0))</f>
        <v>84.33</v>
      </c>
      <c r="F36" s="218">
        <f>INDEX(Data[FY2026 TLC],MATCH(A36,Data[Label],0))</f>
        <v>385.29</v>
      </c>
      <c r="G36" s="177">
        <f t="shared" si="3"/>
        <v>716115</v>
      </c>
      <c r="H36" s="177">
        <f t="shared" si="4"/>
        <v>51438</v>
      </c>
      <c r="I36" s="177">
        <f t="shared" si="5"/>
        <v>59486</v>
      </c>
      <c r="J36" s="177">
        <f t="shared" si="6"/>
        <v>271784</v>
      </c>
      <c r="K36" s="177">
        <f>INDEX(Data[FY2026 TSS Budget Guarantee],MATCH(A36,Data[Label],0))+INDEX(Data[FY2026 PD Budget Guarantee],MATCH(A36,Data[Label],0))+INDEX(Data[FY2026 Early Intervention Budget Guarantee],MATCH(A36,Data[Label],0))+INDEX(Data[FY2026 TLC Budget Gurantee],MATCH(A36,Data[Label],0))</f>
        <v>14608</v>
      </c>
      <c r="L36" s="177">
        <f t="shared" si="7"/>
        <v>1113431</v>
      </c>
      <c r="M36" s="176">
        <f>INDEX(Data[FY2027 Budget Enrollment],MATCH(A36,Data[Label],0))+INDEX(Data[FY2027 ESAs],MATCH(A36,Data[Label],0))</f>
        <v>715.6</v>
      </c>
      <c r="N36" s="218">
        <f t="shared" si="8"/>
        <v>1028.8800000000001</v>
      </c>
      <c r="O36" s="218">
        <f t="shared" si="9"/>
        <v>74.47</v>
      </c>
      <c r="P36" s="218">
        <f t="shared" si="10"/>
        <v>86.02</v>
      </c>
      <c r="Q36" s="218">
        <f t="shared" si="11"/>
        <v>393</v>
      </c>
      <c r="R36" s="177">
        <f t="shared" si="17"/>
        <v>736267</v>
      </c>
      <c r="S36" s="177">
        <f t="shared" si="18"/>
        <v>53291</v>
      </c>
      <c r="T36" s="177">
        <f t="shared" si="19"/>
        <v>61556</v>
      </c>
      <c r="U36" s="177">
        <f t="shared" ref="U36" si="44">ROUND($M36*Q36,0)</f>
        <v>281231</v>
      </c>
      <c r="V36" s="177">
        <f t="shared" si="12"/>
        <v>0</v>
      </c>
      <c r="W36" s="177">
        <f t="shared" si="13"/>
        <v>1132345</v>
      </c>
      <c r="X36" s="177">
        <f t="shared" si="14"/>
        <v>18914</v>
      </c>
      <c r="Y36" s="178">
        <f t="shared" si="15"/>
        <v>1.6987132565915625E-2</v>
      </c>
      <c r="Z36" s="179">
        <f t="shared" si="2"/>
        <v>10.200000000000045</v>
      </c>
      <c r="AA36" s="180">
        <f t="shared" si="16"/>
        <v>1.4459880918627793E-2</v>
      </c>
    </row>
    <row r="37" spans="1:27" x14ac:dyDescent="0.55000000000000004">
      <c r="A37" s="229" t="s">
        <v>30</v>
      </c>
      <c r="B37" s="181">
        <f>INDEX(Data[FY2026 Budget Enrollment],MATCH(A37,Data[Label],0))+INDEX(Data[FY2026 ESA],MATCH(A37,Data[Label],0))</f>
        <v>170.1</v>
      </c>
      <c r="C37" s="91">
        <f>INDEX(Data[FY2026 TSS],MATCH(A37,Data[Label],0))</f>
        <v>1296.82</v>
      </c>
      <c r="D37" s="91">
        <f>INDEX(Data[FY2026 PD],MATCH(A37,Data[Label],0))</f>
        <v>51.47</v>
      </c>
      <c r="E37" s="91">
        <f>INDEX(Data[FY2026 Early Intervention],MATCH(A37,Data[Label],0))</f>
        <v>78.959999999999994</v>
      </c>
      <c r="F37" s="91">
        <f>INDEX(Data[FY2026 TLC],MATCH(A37,Data[Label],0))</f>
        <v>385.29</v>
      </c>
      <c r="G37" s="182">
        <f t="shared" si="3"/>
        <v>220589</v>
      </c>
      <c r="H37" s="182">
        <f t="shared" si="4"/>
        <v>8755</v>
      </c>
      <c r="I37" s="182">
        <f t="shared" si="5"/>
        <v>13431</v>
      </c>
      <c r="J37" s="182">
        <f t="shared" si="6"/>
        <v>65538</v>
      </c>
      <c r="K37" s="182">
        <f>INDEX(Data[FY2026 TSS Budget Guarantee],MATCH(A37,Data[Label],0))+INDEX(Data[FY2026 PD Budget Guarantee],MATCH(A37,Data[Label],0))+INDEX(Data[FY2026 Early Intervention Budget Guarantee],MATCH(A37,Data[Label],0))+INDEX(Data[FY2026 TLC Budget Gurantee],MATCH(A37,Data[Label],0))</f>
        <v>0</v>
      </c>
      <c r="L37" s="182">
        <f t="shared" si="7"/>
        <v>308313</v>
      </c>
      <c r="M37" s="181">
        <f>INDEX(Data[FY2027 Budget Enrollment],MATCH(A37,Data[Label],0))+INDEX(Data[FY2027 ESAs],MATCH(A37,Data[Label],0))</f>
        <v>160.4</v>
      </c>
      <c r="N37" s="91">
        <f t="shared" si="8"/>
        <v>1310.51</v>
      </c>
      <c r="O37" s="91">
        <f t="shared" si="9"/>
        <v>53.019999999999996</v>
      </c>
      <c r="P37" s="91">
        <f t="shared" si="10"/>
        <v>80.649999999999991</v>
      </c>
      <c r="Q37" s="91">
        <f t="shared" si="11"/>
        <v>393</v>
      </c>
      <c r="R37" s="182">
        <f t="shared" si="17"/>
        <v>210206</v>
      </c>
      <c r="S37" s="182">
        <f t="shared" si="18"/>
        <v>8504</v>
      </c>
      <c r="T37" s="182">
        <f t="shared" si="19"/>
        <v>12936</v>
      </c>
      <c r="U37" s="182">
        <f t="shared" ref="U37" si="45">ROUND($M37*Q37,)</f>
        <v>63037</v>
      </c>
      <c r="V37" s="182">
        <f t="shared" si="12"/>
        <v>13630</v>
      </c>
      <c r="W37" s="182">
        <f t="shared" si="13"/>
        <v>308313</v>
      </c>
      <c r="X37" s="182">
        <f t="shared" si="14"/>
        <v>0</v>
      </c>
      <c r="Y37" s="183">
        <f t="shared" si="15"/>
        <v>0</v>
      </c>
      <c r="Z37" s="184">
        <f t="shared" si="2"/>
        <v>-9.6999999999999886</v>
      </c>
      <c r="AA37" s="185">
        <f t="shared" si="16"/>
        <v>-5.7025279247501406E-2</v>
      </c>
    </row>
    <row r="38" spans="1:27" x14ac:dyDescent="0.55000000000000004">
      <c r="A38" s="230" t="s">
        <v>31</v>
      </c>
      <c r="B38" s="176">
        <f>INDEX(Data[FY2026 Budget Enrollment],MATCH(A38,Data[Label],0))+INDEX(Data[FY2026 ESA],MATCH(A38,Data[Label],0))</f>
        <v>1594.6</v>
      </c>
      <c r="C38" s="218">
        <f>INDEX(Data[FY2026 TSS],MATCH(A38,Data[Label],0))</f>
        <v>814.09</v>
      </c>
      <c r="D38" s="218">
        <f>INDEX(Data[FY2026 PD],MATCH(A38,Data[Label],0))</f>
        <v>74.760000000000005</v>
      </c>
      <c r="E38" s="218">
        <f>INDEX(Data[FY2026 Early Intervention],MATCH(A38,Data[Label],0))</f>
        <v>71.760000000000005</v>
      </c>
      <c r="F38" s="218">
        <f>INDEX(Data[FY2026 TLC],MATCH(A38,Data[Label],0))</f>
        <v>385.29</v>
      </c>
      <c r="G38" s="177">
        <f t="shared" si="3"/>
        <v>1298148</v>
      </c>
      <c r="H38" s="177">
        <f t="shared" si="4"/>
        <v>119212</v>
      </c>
      <c r="I38" s="177">
        <f t="shared" si="5"/>
        <v>114428</v>
      </c>
      <c r="J38" s="177">
        <f t="shared" si="6"/>
        <v>614383</v>
      </c>
      <c r="K38" s="177">
        <f>INDEX(Data[FY2026 TSS Budget Guarantee],MATCH(A38,Data[Label],0))+INDEX(Data[FY2026 PD Budget Guarantee],MATCH(A38,Data[Label],0))+INDEX(Data[FY2026 Early Intervention Budget Guarantee],MATCH(A38,Data[Label],0))+INDEX(Data[FY2026 TLC Budget Gurantee],MATCH(A38,Data[Label],0))</f>
        <v>0</v>
      </c>
      <c r="L38" s="177">
        <f t="shared" si="7"/>
        <v>2146171</v>
      </c>
      <c r="M38" s="176">
        <f>INDEX(Data[FY2027 Budget Enrollment],MATCH(A38,Data[Label],0))+INDEX(Data[FY2027 ESAs],MATCH(A38,Data[Label],0))</f>
        <v>1580.1</v>
      </c>
      <c r="N38" s="218">
        <f t="shared" si="8"/>
        <v>827.78000000000009</v>
      </c>
      <c r="O38" s="218">
        <f t="shared" si="9"/>
        <v>76.31</v>
      </c>
      <c r="P38" s="218">
        <f t="shared" si="10"/>
        <v>73.45</v>
      </c>
      <c r="Q38" s="218">
        <f t="shared" si="11"/>
        <v>393</v>
      </c>
      <c r="R38" s="177">
        <f t="shared" si="17"/>
        <v>1307975</v>
      </c>
      <c r="S38" s="177">
        <f t="shared" si="18"/>
        <v>120577</v>
      </c>
      <c r="T38" s="177">
        <f t="shared" si="19"/>
        <v>116058</v>
      </c>
      <c r="U38" s="177">
        <f t="shared" ref="U38" si="46">ROUND($M38*Q38,0)</f>
        <v>620979</v>
      </c>
      <c r="V38" s="177">
        <f t="shared" si="12"/>
        <v>0</v>
      </c>
      <c r="W38" s="177">
        <f t="shared" si="13"/>
        <v>2165589</v>
      </c>
      <c r="X38" s="177">
        <f t="shared" si="14"/>
        <v>19418</v>
      </c>
      <c r="Y38" s="178">
        <f t="shared" si="15"/>
        <v>9.0477413029996217E-3</v>
      </c>
      <c r="Z38" s="179">
        <f t="shared" si="2"/>
        <v>-14.5</v>
      </c>
      <c r="AA38" s="180">
        <f t="shared" si="16"/>
        <v>-9.0931895146118148E-3</v>
      </c>
    </row>
    <row r="39" spans="1:27" x14ac:dyDescent="0.55000000000000004">
      <c r="A39" s="229" t="s">
        <v>32</v>
      </c>
      <c r="B39" s="181">
        <f>INDEX(Data[FY2026 Budget Enrollment],MATCH(A39,Data[Label],0))+INDEX(Data[FY2026 ESA],MATCH(A39,Data[Label],0))</f>
        <v>4090.6</v>
      </c>
      <c r="C39" s="91">
        <f>INDEX(Data[FY2026 TSS],MATCH(A39,Data[Label],0))</f>
        <v>746.59</v>
      </c>
      <c r="D39" s="91">
        <f>INDEX(Data[FY2026 PD],MATCH(A39,Data[Label],0))</f>
        <v>76.42</v>
      </c>
      <c r="E39" s="91">
        <f>INDEX(Data[FY2026 Early Intervention],MATCH(A39,Data[Label],0))</f>
        <v>77.739999999999995</v>
      </c>
      <c r="F39" s="91">
        <f>INDEX(Data[FY2026 TLC],MATCH(A39,Data[Label],0))</f>
        <v>385.29</v>
      </c>
      <c r="G39" s="182">
        <f t="shared" si="3"/>
        <v>3054001</v>
      </c>
      <c r="H39" s="182">
        <f t="shared" si="4"/>
        <v>312604</v>
      </c>
      <c r="I39" s="182">
        <f t="shared" si="5"/>
        <v>318003</v>
      </c>
      <c r="J39" s="182">
        <f t="shared" si="6"/>
        <v>1576067</v>
      </c>
      <c r="K39" s="182">
        <f>INDEX(Data[FY2026 TSS Budget Guarantee],MATCH(A39,Data[Label],0))+INDEX(Data[FY2026 PD Budget Guarantee],MATCH(A39,Data[Label],0))+INDEX(Data[FY2026 Early Intervention Budget Guarantee],MATCH(A39,Data[Label],0))+INDEX(Data[FY2026 TLC Budget Gurantee],MATCH(A39,Data[Label],0))</f>
        <v>0</v>
      </c>
      <c r="L39" s="182">
        <f t="shared" si="7"/>
        <v>5260675</v>
      </c>
      <c r="M39" s="181">
        <f>INDEX(Data[FY2027 Budget Enrollment],MATCH(A39,Data[Label],0))+INDEX(Data[FY2027 ESAs],MATCH(A39,Data[Label],0))</f>
        <v>4163.8999999999996</v>
      </c>
      <c r="N39" s="91">
        <f t="shared" si="8"/>
        <v>760.28000000000009</v>
      </c>
      <c r="O39" s="91">
        <f t="shared" si="9"/>
        <v>77.97</v>
      </c>
      <c r="P39" s="91">
        <f t="shared" si="10"/>
        <v>79.429999999999993</v>
      </c>
      <c r="Q39" s="91">
        <f t="shared" si="11"/>
        <v>393</v>
      </c>
      <c r="R39" s="182">
        <f t="shared" si="17"/>
        <v>3165730</v>
      </c>
      <c r="S39" s="182">
        <f t="shared" si="18"/>
        <v>324659</v>
      </c>
      <c r="T39" s="182">
        <f t="shared" si="19"/>
        <v>330739</v>
      </c>
      <c r="U39" s="182">
        <f t="shared" ref="U39" si="47">ROUND($M39*Q39,)</f>
        <v>1636413</v>
      </c>
      <c r="V39" s="182">
        <f t="shared" si="12"/>
        <v>0</v>
      </c>
      <c r="W39" s="182">
        <f t="shared" si="13"/>
        <v>5457541</v>
      </c>
      <c r="X39" s="182">
        <f t="shared" si="14"/>
        <v>196866</v>
      </c>
      <c r="Y39" s="183">
        <f t="shared" si="15"/>
        <v>3.742219391998175E-2</v>
      </c>
      <c r="Z39" s="184">
        <f t="shared" si="2"/>
        <v>73.299999999999727</v>
      </c>
      <c r="AA39" s="185">
        <f t="shared" si="16"/>
        <v>1.7919131667725938E-2</v>
      </c>
    </row>
    <row r="40" spans="1:27" x14ac:dyDescent="0.55000000000000004">
      <c r="A40" s="230" t="s">
        <v>33</v>
      </c>
      <c r="B40" s="176">
        <f>INDEX(Data[FY2026 Budget Enrollment],MATCH(A40,Data[Label],0))+INDEX(Data[FY2026 ESA],MATCH(A40,Data[Label],0))</f>
        <v>2721.4</v>
      </c>
      <c r="C40" s="218">
        <f>INDEX(Data[FY2026 TSS],MATCH(A40,Data[Label],0))</f>
        <v>758.93</v>
      </c>
      <c r="D40" s="218">
        <f>INDEX(Data[FY2026 PD],MATCH(A40,Data[Label],0))</f>
        <v>68.930000000000007</v>
      </c>
      <c r="E40" s="218">
        <f>INDEX(Data[FY2026 Early Intervention],MATCH(A40,Data[Label],0))</f>
        <v>79.78</v>
      </c>
      <c r="F40" s="218">
        <f>INDEX(Data[FY2026 TLC],MATCH(A40,Data[Label],0))</f>
        <v>385.29</v>
      </c>
      <c r="G40" s="177">
        <f t="shared" si="3"/>
        <v>2065352</v>
      </c>
      <c r="H40" s="177">
        <f t="shared" si="4"/>
        <v>187586</v>
      </c>
      <c r="I40" s="177">
        <f t="shared" si="5"/>
        <v>217113</v>
      </c>
      <c r="J40" s="177">
        <f t="shared" si="6"/>
        <v>1048528</v>
      </c>
      <c r="K40" s="177">
        <f>INDEX(Data[FY2026 TSS Budget Guarantee],MATCH(A40,Data[Label],0))+INDEX(Data[FY2026 PD Budget Guarantee],MATCH(A40,Data[Label],0))+INDEX(Data[FY2026 Early Intervention Budget Guarantee],MATCH(A40,Data[Label],0))+INDEX(Data[FY2026 TLC Budget Gurantee],MATCH(A40,Data[Label],0))</f>
        <v>0</v>
      </c>
      <c r="L40" s="177">
        <f t="shared" si="7"/>
        <v>3518579</v>
      </c>
      <c r="M40" s="176">
        <f>INDEX(Data[FY2027 Budget Enrollment],MATCH(A40,Data[Label],0))+INDEX(Data[FY2027 ESAs],MATCH(A40,Data[Label],0))</f>
        <v>2733.4</v>
      </c>
      <c r="N40" s="218">
        <f t="shared" si="8"/>
        <v>772.62</v>
      </c>
      <c r="O40" s="218">
        <f t="shared" si="9"/>
        <v>70.48</v>
      </c>
      <c r="P40" s="218">
        <f t="shared" si="10"/>
        <v>81.47</v>
      </c>
      <c r="Q40" s="218">
        <f t="shared" si="11"/>
        <v>393</v>
      </c>
      <c r="R40" s="177">
        <f t="shared" si="17"/>
        <v>2111880</v>
      </c>
      <c r="S40" s="177">
        <f t="shared" si="18"/>
        <v>192650</v>
      </c>
      <c r="T40" s="177">
        <f t="shared" si="19"/>
        <v>222690</v>
      </c>
      <c r="U40" s="177">
        <f t="shared" ref="U40" si="48">ROUND($M40*Q40,0)</f>
        <v>1074226</v>
      </c>
      <c r="V40" s="177">
        <f t="shared" si="12"/>
        <v>0</v>
      </c>
      <c r="W40" s="177">
        <f t="shared" si="13"/>
        <v>3601446</v>
      </c>
      <c r="X40" s="177">
        <f t="shared" si="14"/>
        <v>82867</v>
      </c>
      <c r="Y40" s="178">
        <f t="shared" si="15"/>
        <v>2.3551268850294394E-2</v>
      </c>
      <c r="Z40" s="179">
        <f t="shared" si="2"/>
        <v>12</v>
      </c>
      <c r="AA40" s="180">
        <f t="shared" si="16"/>
        <v>4.4094951128095831E-3</v>
      </c>
    </row>
    <row r="41" spans="1:27" x14ac:dyDescent="0.55000000000000004">
      <c r="A41" s="229" t="s">
        <v>34</v>
      </c>
      <c r="B41" s="181">
        <f>INDEX(Data[FY2026 Budget Enrollment],MATCH(A41,Data[Label],0))+INDEX(Data[FY2026 ESA],MATCH(A41,Data[Label],0))</f>
        <v>2131</v>
      </c>
      <c r="C41" s="91">
        <f>INDEX(Data[FY2026 TSS],MATCH(A41,Data[Label],0))</f>
        <v>759.22</v>
      </c>
      <c r="D41" s="91">
        <f>INDEX(Data[FY2026 PD],MATCH(A41,Data[Label],0))</f>
        <v>85.27</v>
      </c>
      <c r="E41" s="91">
        <f>INDEX(Data[FY2026 Early Intervention],MATCH(A41,Data[Label],0))</f>
        <v>80.27</v>
      </c>
      <c r="F41" s="91">
        <f>INDEX(Data[FY2026 TLC],MATCH(A41,Data[Label],0))</f>
        <v>385.29</v>
      </c>
      <c r="G41" s="182">
        <f t="shared" si="3"/>
        <v>1617898</v>
      </c>
      <c r="H41" s="182">
        <f t="shared" si="4"/>
        <v>181710</v>
      </c>
      <c r="I41" s="182">
        <f t="shared" si="5"/>
        <v>171055</v>
      </c>
      <c r="J41" s="182">
        <f t="shared" si="6"/>
        <v>821053</v>
      </c>
      <c r="K41" s="182">
        <f>INDEX(Data[FY2026 TSS Budget Guarantee],MATCH(A41,Data[Label],0))+INDEX(Data[FY2026 PD Budget Guarantee],MATCH(A41,Data[Label],0))+INDEX(Data[FY2026 Early Intervention Budget Guarantee],MATCH(A41,Data[Label],0))+INDEX(Data[FY2026 TLC Budget Gurantee],MATCH(A41,Data[Label],0))</f>
        <v>0</v>
      </c>
      <c r="L41" s="182">
        <f t="shared" si="7"/>
        <v>2791716</v>
      </c>
      <c r="M41" s="181">
        <f>INDEX(Data[FY2027 Budget Enrollment],MATCH(A41,Data[Label],0))+INDEX(Data[FY2027 ESAs],MATCH(A41,Data[Label],0))</f>
        <v>2148.6</v>
      </c>
      <c r="N41" s="91">
        <f t="shared" si="8"/>
        <v>772.91000000000008</v>
      </c>
      <c r="O41" s="91">
        <f t="shared" si="9"/>
        <v>86.82</v>
      </c>
      <c r="P41" s="91">
        <f t="shared" si="10"/>
        <v>81.96</v>
      </c>
      <c r="Q41" s="91">
        <f t="shared" si="11"/>
        <v>393</v>
      </c>
      <c r="R41" s="182">
        <f t="shared" si="17"/>
        <v>1660674</v>
      </c>
      <c r="S41" s="182">
        <f t="shared" si="18"/>
        <v>186541</v>
      </c>
      <c r="T41" s="182">
        <f t="shared" si="19"/>
        <v>176099</v>
      </c>
      <c r="U41" s="182">
        <f t="shared" ref="U41" si="49">ROUND($M41*Q41,)</f>
        <v>844400</v>
      </c>
      <c r="V41" s="182">
        <f t="shared" si="12"/>
        <v>0</v>
      </c>
      <c r="W41" s="182">
        <f t="shared" si="13"/>
        <v>2867714</v>
      </c>
      <c r="X41" s="182">
        <f t="shared" si="14"/>
        <v>75998</v>
      </c>
      <c r="Y41" s="183">
        <f t="shared" si="15"/>
        <v>2.7222683109599972E-2</v>
      </c>
      <c r="Z41" s="184">
        <f t="shared" si="2"/>
        <v>17.599999999999909</v>
      </c>
      <c r="AA41" s="185">
        <f t="shared" si="16"/>
        <v>8.2590333176911813E-3</v>
      </c>
    </row>
    <row r="42" spans="1:27" x14ac:dyDescent="0.55000000000000004">
      <c r="A42" s="230" t="s">
        <v>35</v>
      </c>
      <c r="B42" s="176">
        <f>INDEX(Data[FY2026 Budget Enrollment],MATCH(A42,Data[Label],0))+INDEX(Data[FY2026 ESA],MATCH(A42,Data[Label],0))</f>
        <v>882.7</v>
      </c>
      <c r="C42" s="218">
        <f>INDEX(Data[FY2026 TSS],MATCH(A42,Data[Label],0))</f>
        <v>934.71</v>
      </c>
      <c r="D42" s="218">
        <f>INDEX(Data[FY2026 PD],MATCH(A42,Data[Label],0))</f>
        <v>74.81</v>
      </c>
      <c r="E42" s="218">
        <f>INDEX(Data[FY2026 Early Intervention],MATCH(A42,Data[Label],0))</f>
        <v>89.65</v>
      </c>
      <c r="F42" s="218">
        <f>INDEX(Data[FY2026 TLC],MATCH(A42,Data[Label],0))</f>
        <v>385.29</v>
      </c>
      <c r="G42" s="177">
        <f t="shared" si="3"/>
        <v>825069</v>
      </c>
      <c r="H42" s="177">
        <f t="shared" si="4"/>
        <v>66035</v>
      </c>
      <c r="I42" s="177">
        <f t="shared" si="5"/>
        <v>79134</v>
      </c>
      <c r="J42" s="177">
        <f t="shared" si="6"/>
        <v>340095</v>
      </c>
      <c r="K42" s="177">
        <f>INDEX(Data[FY2026 TSS Budget Guarantee],MATCH(A42,Data[Label],0))+INDEX(Data[FY2026 PD Budget Guarantee],MATCH(A42,Data[Label],0))+INDEX(Data[FY2026 Early Intervention Budget Guarantee],MATCH(A42,Data[Label],0))+INDEX(Data[FY2026 TLC Budget Gurantee],MATCH(A42,Data[Label],0))</f>
        <v>0</v>
      </c>
      <c r="L42" s="177">
        <f t="shared" si="7"/>
        <v>1310333</v>
      </c>
      <c r="M42" s="176">
        <f>INDEX(Data[FY2027 Budget Enrollment],MATCH(A42,Data[Label],0))+INDEX(Data[FY2027 ESAs],MATCH(A42,Data[Label],0))</f>
        <v>937.2</v>
      </c>
      <c r="N42" s="218">
        <f t="shared" si="8"/>
        <v>948.40000000000009</v>
      </c>
      <c r="O42" s="218">
        <f t="shared" si="9"/>
        <v>76.36</v>
      </c>
      <c r="P42" s="218">
        <f t="shared" si="10"/>
        <v>91.34</v>
      </c>
      <c r="Q42" s="218">
        <f t="shared" si="11"/>
        <v>393</v>
      </c>
      <c r="R42" s="177">
        <f t="shared" si="17"/>
        <v>888840</v>
      </c>
      <c r="S42" s="177">
        <f t="shared" si="18"/>
        <v>71565</v>
      </c>
      <c r="T42" s="177">
        <f t="shared" si="19"/>
        <v>85604</v>
      </c>
      <c r="U42" s="177">
        <f t="shared" ref="U42" si="50">ROUND($M42*Q42,0)</f>
        <v>368320</v>
      </c>
      <c r="V42" s="177">
        <f t="shared" si="12"/>
        <v>0</v>
      </c>
      <c r="W42" s="177">
        <f t="shared" si="13"/>
        <v>1414329</v>
      </c>
      <c r="X42" s="177">
        <f t="shared" si="14"/>
        <v>103996</v>
      </c>
      <c r="Y42" s="178">
        <f t="shared" si="15"/>
        <v>7.9366084804397052E-2</v>
      </c>
      <c r="Z42" s="179">
        <f t="shared" si="2"/>
        <v>54.5</v>
      </c>
      <c r="AA42" s="180">
        <f t="shared" si="16"/>
        <v>6.1742381330010192E-2</v>
      </c>
    </row>
    <row r="43" spans="1:27" x14ac:dyDescent="0.55000000000000004">
      <c r="A43" s="229" t="s">
        <v>36</v>
      </c>
      <c r="B43" s="181">
        <f>INDEX(Data[FY2026 Budget Enrollment],MATCH(A43,Data[Label],0))+INDEX(Data[FY2026 ESA],MATCH(A43,Data[Label],0))</f>
        <v>390.2</v>
      </c>
      <c r="C43" s="91">
        <f>INDEX(Data[FY2026 TSS],MATCH(A43,Data[Label],0))</f>
        <v>1230.19</v>
      </c>
      <c r="D43" s="91">
        <f>INDEX(Data[FY2026 PD],MATCH(A43,Data[Label],0))</f>
        <v>89.98</v>
      </c>
      <c r="E43" s="91">
        <f>INDEX(Data[FY2026 Early Intervention],MATCH(A43,Data[Label],0))</f>
        <v>87.01</v>
      </c>
      <c r="F43" s="91">
        <f>INDEX(Data[FY2026 TLC],MATCH(A43,Data[Label],0))</f>
        <v>385.29</v>
      </c>
      <c r="G43" s="182">
        <f t="shared" si="3"/>
        <v>480020</v>
      </c>
      <c r="H43" s="182">
        <f t="shared" si="4"/>
        <v>35110</v>
      </c>
      <c r="I43" s="182">
        <f t="shared" si="5"/>
        <v>33951</v>
      </c>
      <c r="J43" s="182">
        <f t="shared" si="6"/>
        <v>150340</v>
      </c>
      <c r="K43" s="182">
        <f>INDEX(Data[FY2026 TSS Budget Guarantee],MATCH(A43,Data[Label],0))+INDEX(Data[FY2026 PD Budget Guarantee],MATCH(A43,Data[Label],0))+INDEX(Data[FY2026 Early Intervention Budget Guarantee],MATCH(A43,Data[Label],0))+INDEX(Data[FY2026 TLC Budget Gurantee],MATCH(A43,Data[Label],0))</f>
        <v>0</v>
      </c>
      <c r="L43" s="182">
        <f t="shared" si="7"/>
        <v>699421</v>
      </c>
      <c r="M43" s="181">
        <f>INDEX(Data[FY2027 Budget Enrollment],MATCH(A43,Data[Label],0))+INDEX(Data[FY2027 ESAs],MATCH(A43,Data[Label],0))</f>
        <v>398.3</v>
      </c>
      <c r="N43" s="91">
        <f t="shared" si="8"/>
        <v>1243.8800000000001</v>
      </c>
      <c r="O43" s="91">
        <f t="shared" si="9"/>
        <v>91.53</v>
      </c>
      <c r="P43" s="91">
        <f t="shared" si="10"/>
        <v>88.7</v>
      </c>
      <c r="Q43" s="91">
        <f t="shared" si="11"/>
        <v>393</v>
      </c>
      <c r="R43" s="182">
        <f t="shared" si="17"/>
        <v>495437</v>
      </c>
      <c r="S43" s="182">
        <f t="shared" si="18"/>
        <v>36456</v>
      </c>
      <c r="T43" s="182">
        <f t="shared" si="19"/>
        <v>35329</v>
      </c>
      <c r="U43" s="182">
        <f t="shared" ref="U43" si="51">ROUND($M43*Q43,)</f>
        <v>156532</v>
      </c>
      <c r="V43" s="182">
        <f t="shared" si="12"/>
        <v>0</v>
      </c>
      <c r="W43" s="182">
        <f t="shared" si="13"/>
        <v>723754</v>
      </c>
      <c r="X43" s="182">
        <f t="shared" si="14"/>
        <v>24333</v>
      </c>
      <c r="Y43" s="183">
        <f t="shared" si="15"/>
        <v>3.4790205041026791E-2</v>
      </c>
      <c r="Z43" s="184">
        <f t="shared" si="2"/>
        <v>8.1000000000000227</v>
      </c>
      <c r="AA43" s="185">
        <f t="shared" si="16"/>
        <v>2.0758585340850906E-2</v>
      </c>
    </row>
    <row r="44" spans="1:27" x14ac:dyDescent="0.55000000000000004">
      <c r="A44" s="230" t="s">
        <v>37</v>
      </c>
      <c r="B44" s="176">
        <f>INDEX(Data[FY2026 Budget Enrollment],MATCH(A44,Data[Label],0))+INDEX(Data[FY2026 ESA],MATCH(A44,Data[Label],0))</f>
        <v>518.4</v>
      </c>
      <c r="C44" s="218">
        <f>INDEX(Data[FY2026 TSS],MATCH(A44,Data[Label],0))</f>
        <v>1135.19</v>
      </c>
      <c r="D44" s="218">
        <f>INDEX(Data[FY2026 PD],MATCH(A44,Data[Label],0))</f>
        <v>73.22</v>
      </c>
      <c r="E44" s="218">
        <f>INDEX(Data[FY2026 Early Intervention],MATCH(A44,Data[Label],0))</f>
        <v>78.38</v>
      </c>
      <c r="F44" s="218">
        <f>INDEX(Data[FY2026 TLC],MATCH(A44,Data[Label],0))</f>
        <v>385.29</v>
      </c>
      <c r="G44" s="177">
        <f t="shared" si="3"/>
        <v>588482</v>
      </c>
      <c r="H44" s="177">
        <f t="shared" si="4"/>
        <v>37957</v>
      </c>
      <c r="I44" s="177">
        <f t="shared" si="5"/>
        <v>40632</v>
      </c>
      <c r="J44" s="177">
        <f t="shared" si="6"/>
        <v>199734</v>
      </c>
      <c r="K44" s="177">
        <f>INDEX(Data[FY2026 TSS Budget Guarantee],MATCH(A44,Data[Label],0))+INDEX(Data[FY2026 PD Budget Guarantee],MATCH(A44,Data[Label],0))+INDEX(Data[FY2026 Early Intervention Budget Guarantee],MATCH(A44,Data[Label],0))+INDEX(Data[FY2026 TLC Budget Gurantee],MATCH(A44,Data[Label],0))</f>
        <v>0</v>
      </c>
      <c r="L44" s="177">
        <f t="shared" si="7"/>
        <v>866805</v>
      </c>
      <c r="M44" s="176">
        <f>INDEX(Data[FY2027 Budget Enrollment],MATCH(A44,Data[Label],0))+INDEX(Data[FY2027 ESAs],MATCH(A44,Data[Label],0))</f>
        <v>495</v>
      </c>
      <c r="N44" s="218">
        <f t="shared" si="8"/>
        <v>1148.8800000000001</v>
      </c>
      <c r="O44" s="218">
        <f t="shared" si="9"/>
        <v>74.77</v>
      </c>
      <c r="P44" s="218">
        <f t="shared" si="10"/>
        <v>80.069999999999993</v>
      </c>
      <c r="Q44" s="218">
        <f t="shared" si="11"/>
        <v>393</v>
      </c>
      <c r="R44" s="177">
        <f t="shared" si="17"/>
        <v>568696</v>
      </c>
      <c r="S44" s="177">
        <f t="shared" si="18"/>
        <v>37011</v>
      </c>
      <c r="T44" s="177">
        <f t="shared" si="19"/>
        <v>39635</v>
      </c>
      <c r="U44" s="177">
        <f t="shared" ref="U44" si="52">ROUND($M44*Q44,0)</f>
        <v>194535</v>
      </c>
      <c r="V44" s="177">
        <f t="shared" si="12"/>
        <v>26928</v>
      </c>
      <c r="W44" s="177">
        <f t="shared" si="13"/>
        <v>866805</v>
      </c>
      <c r="X44" s="177">
        <f t="shared" si="14"/>
        <v>0</v>
      </c>
      <c r="Y44" s="178">
        <f t="shared" si="15"/>
        <v>0</v>
      </c>
      <c r="Z44" s="179">
        <f t="shared" si="2"/>
        <v>-23.399999999999977</v>
      </c>
      <c r="AA44" s="180">
        <f t="shared" si="16"/>
        <v>-4.5138888888888846E-2</v>
      </c>
    </row>
    <row r="45" spans="1:27" x14ac:dyDescent="0.55000000000000004">
      <c r="A45" s="229" t="s">
        <v>38</v>
      </c>
      <c r="B45" s="181">
        <f>INDEX(Data[FY2026 Budget Enrollment],MATCH(A45,Data[Label],0))+INDEX(Data[FY2026 ESA],MATCH(A45,Data[Label],0))</f>
        <v>3908.1</v>
      </c>
      <c r="C45" s="91">
        <f>INDEX(Data[FY2026 TSS],MATCH(A45,Data[Label],0))</f>
        <v>856.09</v>
      </c>
      <c r="D45" s="91">
        <f>INDEX(Data[FY2026 PD],MATCH(A45,Data[Label],0))</f>
        <v>74.510000000000005</v>
      </c>
      <c r="E45" s="91">
        <f>INDEX(Data[FY2026 Early Intervention],MATCH(A45,Data[Label],0))</f>
        <v>91.02</v>
      </c>
      <c r="F45" s="91">
        <f>INDEX(Data[FY2026 TLC],MATCH(A45,Data[Label],0))</f>
        <v>385.29</v>
      </c>
      <c r="G45" s="182">
        <f t="shared" si="3"/>
        <v>3345685</v>
      </c>
      <c r="H45" s="182">
        <f t="shared" si="4"/>
        <v>291193</v>
      </c>
      <c r="I45" s="182">
        <f t="shared" si="5"/>
        <v>355715</v>
      </c>
      <c r="J45" s="182">
        <f t="shared" si="6"/>
        <v>1505752</v>
      </c>
      <c r="K45" s="182">
        <f>INDEX(Data[FY2026 TSS Budget Guarantee],MATCH(A45,Data[Label],0))+INDEX(Data[FY2026 PD Budget Guarantee],MATCH(A45,Data[Label],0))+INDEX(Data[FY2026 Early Intervention Budget Guarantee],MATCH(A45,Data[Label],0))+INDEX(Data[FY2026 TLC Budget Gurantee],MATCH(A45,Data[Label],0))</f>
        <v>0</v>
      </c>
      <c r="L45" s="182">
        <f t="shared" si="7"/>
        <v>5498345</v>
      </c>
      <c r="M45" s="181">
        <f>INDEX(Data[FY2027 Budget Enrollment],MATCH(A45,Data[Label],0))+INDEX(Data[FY2027 ESAs],MATCH(A45,Data[Label],0))</f>
        <v>3907.2</v>
      </c>
      <c r="N45" s="91">
        <f t="shared" si="8"/>
        <v>869.78000000000009</v>
      </c>
      <c r="O45" s="91">
        <f t="shared" si="9"/>
        <v>76.06</v>
      </c>
      <c r="P45" s="91">
        <f t="shared" si="10"/>
        <v>92.71</v>
      </c>
      <c r="Q45" s="91">
        <f t="shared" si="11"/>
        <v>393</v>
      </c>
      <c r="R45" s="182">
        <f t="shared" si="17"/>
        <v>3398404</v>
      </c>
      <c r="S45" s="182">
        <f t="shared" si="18"/>
        <v>297182</v>
      </c>
      <c r="T45" s="182">
        <f t="shared" si="19"/>
        <v>362237</v>
      </c>
      <c r="U45" s="182">
        <f t="shared" ref="U45" si="53">ROUND($M45*Q45,)</f>
        <v>1535530</v>
      </c>
      <c r="V45" s="182">
        <f t="shared" si="12"/>
        <v>0</v>
      </c>
      <c r="W45" s="182">
        <f t="shared" si="13"/>
        <v>5593353</v>
      </c>
      <c r="X45" s="182">
        <f t="shared" si="14"/>
        <v>95008</v>
      </c>
      <c r="Y45" s="183">
        <f t="shared" si="15"/>
        <v>1.7279381341112645E-2</v>
      </c>
      <c r="Z45" s="184">
        <f t="shared" si="2"/>
        <v>-0.90000000000009095</v>
      </c>
      <c r="AA45" s="185">
        <f t="shared" si="16"/>
        <v>-2.3029093421357972E-4</v>
      </c>
    </row>
    <row r="46" spans="1:27" x14ac:dyDescent="0.55000000000000004">
      <c r="A46" s="230" t="s">
        <v>39</v>
      </c>
      <c r="B46" s="176">
        <f>INDEX(Data[FY2026 Budget Enrollment],MATCH(A46,Data[Label],0))+INDEX(Data[FY2026 ESA],MATCH(A46,Data[Label],0))</f>
        <v>291.10000000000002</v>
      </c>
      <c r="C46" s="218">
        <f>INDEX(Data[FY2026 TSS],MATCH(A46,Data[Label],0))</f>
        <v>1236.8800000000001</v>
      </c>
      <c r="D46" s="218">
        <f>INDEX(Data[FY2026 PD],MATCH(A46,Data[Label],0))</f>
        <v>84.09</v>
      </c>
      <c r="E46" s="218">
        <f>INDEX(Data[FY2026 Early Intervention],MATCH(A46,Data[Label],0))</f>
        <v>86.91</v>
      </c>
      <c r="F46" s="218">
        <f>INDEX(Data[FY2026 TLC],MATCH(A46,Data[Label],0))</f>
        <v>385.29</v>
      </c>
      <c r="G46" s="177">
        <f t="shared" si="3"/>
        <v>360056</v>
      </c>
      <c r="H46" s="177">
        <f t="shared" si="4"/>
        <v>24479</v>
      </c>
      <c r="I46" s="177">
        <f t="shared" si="5"/>
        <v>25300</v>
      </c>
      <c r="J46" s="177">
        <f t="shared" si="6"/>
        <v>112158</v>
      </c>
      <c r="K46" s="177">
        <f>INDEX(Data[FY2026 TSS Budget Guarantee],MATCH(A46,Data[Label],0))+INDEX(Data[FY2026 PD Budget Guarantee],MATCH(A46,Data[Label],0))+INDEX(Data[FY2026 Early Intervention Budget Guarantee],MATCH(A46,Data[Label],0))+INDEX(Data[FY2026 TLC Budget Gurantee],MATCH(A46,Data[Label],0))</f>
        <v>0</v>
      </c>
      <c r="L46" s="177">
        <f t="shared" si="7"/>
        <v>521993</v>
      </c>
      <c r="M46" s="176">
        <f>INDEX(Data[FY2027 Budget Enrollment],MATCH(A46,Data[Label],0))+INDEX(Data[FY2027 ESAs],MATCH(A46,Data[Label],0))</f>
        <v>291.89999999999998</v>
      </c>
      <c r="N46" s="218">
        <f t="shared" si="8"/>
        <v>1250.5700000000002</v>
      </c>
      <c r="O46" s="218">
        <f t="shared" si="9"/>
        <v>85.64</v>
      </c>
      <c r="P46" s="218">
        <f t="shared" si="10"/>
        <v>88.6</v>
      </c>
      <c r="Q46" s="218">
        <f t="shared" si="11"/>
        <v>393</v>
      </c>
      <c r="R46" s="177">
        <f t="shared" si="17"/>
        <v>365041</v>
      </c>
      <c r="S46" s="177">
        <f t="shared" si="18"/>
        <v>24998</v>
      </c>
      <c r="T46" s="177">
        <f t="shared" si="19"/>
        <v>25862</v>
      </c>
      <c r="U46" s="177">
        <f t="shared" ref="U46" si="54">ROUND($M46*Q46,0)</f>
        <v>114717</v>
      </c>
      <c r="V46" s="177">
        <f t="shared" si="12"/>
        <v>0</v>
      </c>
      <c r="W46" s="177">
        <f t="shared" si="13"/>
        <v>530618</v>
      </c>
      <c r="X46" s="177">
        <f t="shared" si="14"/>
        <v>8625</v>
      </c>
      <c r="Y46" s="178">
        <f t="shared" si="15"/>
        <v>1.6523210081361244E-2</v>
      </c>
      <c r="Z46" s="179">
        <f t="shared" si="2"/>
        <v>0.79999999999995453</v>
      </c>
      <c r="AA46" s="180">
        <f t="shared" si="16"/>
        <v>2.7481964960493111E-3</v>
      </c>
    </row>
    <row r="47" spans="1:27" x14ac:dyDescent="0.55000000000000004">
      <c r="A47" s="229" t="s">
        <v>40</v>
      </c>
      <c r="B47" s="181">
        <f>INDEX(Data[FY2026 Budget Enrollment],MATCH(A47,Data[Label],0))+INDEX(Data[FY2026 ESA],MATCH(A47,Data[Label],0))</f>
        <v>421.4</v>
      </c>
      <c r="C47" s="91">
        <f>INDEX(Data[FY2026 TSS],MATCH(A47,Data[Label],0))</f>
        <v>1746.55</v>
      </c>
      <c r="D47" s="91">
        <f>INDEX(Data[FY2026 PD],MATCH(A47,Data[Label],0))</f>
        <v>75.23</v>
      </c>
      <c r="E47" s="91">
        <f>INDEX(Data[FY2026 Early Intervention],MATCH(A47,Data[Label],0))</f>
        <v>77.75</v>
      </c>
      <c r="F47" s="91">
        <f>INDEX(Data[FY2026 TLC],MATCH(A47,Data[Label],0))</f>
        <v>385.29</v>
      </c>
      <c r="G47" s="182">
        <f t="shared" si="3"/>
        <v>735996</v>
      </c>
      <c r="H47" s="182">
        <f t="shared" si="4"/>
        <v>31702</v>
      </c>
      <c r="I47" s="182">
        <f t="shared" si="5"/>
        <v>32764</v>
      </c>
      <c r="J47" s="182">
        <f t="shared" si="6"/>
        <v>162361</v>
      </c>
      <c r="K47" s="182">
        <f>INDEX(Data[FY2026 TSS Budget Guarantee],MATCH(A47,Data[Label],0))+INDEX(Data[FY2026 PD Budget Guarantee],MATCH(A47,Data[Label],0))+INDEX(Data[FY2026 Early Intervention Budget Guarantee],MATCH(A47,Data[Label],0))+INDEX(Data[FY2026 TLC Budget Gurantee],MATCH(A47,Data[Label],0))</f>
        <v>9300</v>
      </c>
      <c r="L47" s="182">
        <f t="shared" si="7"/>
        <v>972123</v>
      </c>
      <c r="M47" s="181">
        <f>INDEX(Data[FY2027 Budget Enrollment],MATCH(A47,Data[Label],0))+INDEX(Data[FY2027 ESAs],MATCH(A47,Data[Label],0))</f>
        <v>397.7</v>
      </c>
      <c r="N47" s="91">
        <f t="shared" si="8"/>
        <v>1760.24</v>
      </c>
      <c r="O47" s="91">
        <f t="shared" si="9"/>
        <v>76.78</v>
      </c>
      <c r="P47" s="91">
        <f t="shared" si="10"/>
        <v>79.44</v>
      </c>
      <c r="Q47" s="91">
        <f t="shared" si="11"/>
        <v>393</v>
      </c>
      <c r="R47" s="182">
        <f t="shared" si="17"/>
        <v>700047</v>
      </c>
      <c r="S47" s="182">
        <f t="shared" si="18"/>
        <v>30535</v>
      </c>
      <c r="T47" s="182">
        <f t="shared" si="19"/>
        <v>31593</v>
      </c>
      <c r="U47" s="182">
        <f t="shared" ref="U47" si="55">ROUND($M47*Q47,)</f>
        <v>156296</v>
      </c>
      <c r="V47" s="182">
        <f t="shared" si="12"/>
        <v>44352</v>
      </c>
      <c r="W47" s="182">
        <f t="shared" si="13"/>
        <v>962823</v>
      </c>
      <c r="X47" s="182">
        <f t="shared" si="14"/>
        <v>-9300</v>
      </c>
      <c r="Y47" s="183">
        <f t="shared" si="15"/>
        <v>-9.5666906348270738E-3</v>
      </c>
      <c r="Z47" s="184">
        <f t="shared" si="2"/>
        <v>-23.699999999999989</v>
      </c>
      <c r="AA47" s="185">
        <f t="shared" si="16"/>
        <v>-5.6241101091599403E-2</v>
      </c>
    </row>
    <row r="48" spans="1:27" x14ac:dyDescent="0.55000000000000004">
      <c r="A48" s="230" t="s">
        <v>41</v>
      </c>
      <c r="B48" s="176">
        <f>INDEX(Data[FY2026 Budget Enrollment],MATCH(A48,Data[Label],0))+INDEX(Data[FY2026 ESA],MATCH(A48,Data[Label],0))</f>
        <v>353.6</v>
      </c>
      <c r="C48" s="218">
        <f>INDEX(Data[FY2026 TSS],MATCH(A48,Data[Label],0))</f>
        <v>1433.78</v>
      </c>
      <c r="D48" s="218">
        <f>INDEX(Data[FY2026 PD],MATCH(A48,Data[Label],0))</f>
        <v>81.93</v>
      </c>
      <c r="E48" s="218">
        <f>INDEX(Data[FY2026 Early Intervention],MATCH(A48,Data[Label],0))</f>
        <v>86.55</v>
      </c>
      <c r="F48" s="218">
        <f>INDEX(Data[FY2026 TLC],MATCH(A48,Data[Label],0))</f>
        <v>385.29</v>
      </c>
      <c r="G48" s="177">
        <f t="shared" si="3"/>
        <v>506985</v>
      </c>
      <c r="H48" s="177">
        <f t="shared" si="4"/>
        <v>28970</v>
      </c>
      <c r="I48" s="177">
        <f t="shared" si="5"/>
        <v>30604</v>
      </c>
      <c r="J48" s="177">
        <f t="shared" si="6"/>
        <v>136239</v>
      </c>
      <c r="K48" s="177">
        <f>INDEX(Data[FY2026 TSS Budget Guarantee],MATCH(A48,Data[Label],0))+INDEX(Data[FY2026 PD Budget Guarantee],MATCH(A48,Data[Label],0))+INDEX(Data[FY2026 Early Intervention Budget Guarantee],MATCH(A48,Data[Label],0))+INDEX(Data[FY2026 TLC Budget Gurantee],MATCH(A48,Data[Label],0))</f>
        <v>931</v>
      </c>
      <c r="L48" s="177">
        <f t="shared" si="7"/>
        <v>703729</v>
      </c>
      <c r="M48" s="176">
        <f>INDEX(Data[FY2027 Budget Enrollment],MATCH(A48,Data[Label],0))+INDEX(Data[FY2027 ESAs],MATCH(A48,Data[Label],0))</f>
        <v>379</v>
      </c>
      <c r="N48" s="218">
        <f t="shared" si="8"/>
        <v>1447.47</v>
      </c>
      <c r="O48" s="218">
        <f t="shared" si="9"/>
        <v>83.48</v>
      </c>
      <c r="P48" s="218">
        <f t="shared" si="10"/>
        <v>88.24</v>
      </c>
      <c r="Q48" s="218">
        <f t="shared" si="11"/>
        <v>393</v>
      </c>
      <c r="R48" s="177">
        <f t="shared" si="17"/>
        <v>548591</v>
      </c>
      <c r="S48" s="177">
        <f t="shared" si="18"/>
        <v>31639</v>
      </c>
      <c r="T48" s="177">
        <f t="shared" si="19"/>
        <v>33443</v>
      </c>
      <c r="U48" s="177">
        <f t="shared" ref="U48" si="56">ROUND($M48*Q48,0)</f>
        <v>148947</v>
      </c>
      <c r="V48" s="177">
        <f t="shared" si="12"/>
        <v>0</v>
      </c>
      <c r="W48" s="177">
        <f t="shared" si="13"/>
        <v>762620</v>
      </c>
      <c r="X48" s="177">
        <f t="shared" si="14"/>
        <v>58891</v>
      </c>
      <c r="Y48" s="178">
        <f t="shared" si="15"/>
        <v>8.3684202299464702E-2</v>
      </c>
      <c r="Z48" s="179">
        <f t="shared" si="2"/>
        <v>25.399999999999977</v>
      </c>
      <c r="AA48" s="180">
        <f t="shared" si="16"/>
        <v>7.1832579185520287E-2</v>
      </c>
    </row>
    <row r="49" spans="1:27" x14ac:dyDescent="0.55000000000000004">
      <c r="A49" s="229" t="s">
        <v>42</v>
      </c>
      <c r="B49" s="181">
        <f>INDEX(Data[FY2026 Budget Enrollment],MATCH(A49,Data[Label],0))+INDEX(Data[FY2026 ESA],MATCH(A49,Data[Label],0))</f>
        <v>825.3</v>
      </c>
      <c r="C49" s="91">
        <f>INDEX(Data[FY2026 TSS],MATCH(A49,Data[Label],0))</f>
        <v>1370.91</v>
      </c>
      <c r="D49" s="91">
        <f>INDEX(Data[FY2026 PD],MATCH(A49,Data[Label],0))</f>
        <v>73.94</v>
      </c>
      <c r="E49" s="91">
        <f>INDEX(Data[FY2026 Early Intervention],MATCH(A49,Data[Label],0))</f>
        <v>86.71</v>
      </c>
      <c r="F49" s="91">
        <f>INDEX(Data[FY2026 TLC],MATCH(A49,Data[Label],0))</f>
        <v>385.29</v>
      </c>
      <c r="G49" s="182">
        <f t="shared" si="3"/>
        <v>1131412</v>
      </c>
      <c r="H49" s="182">
        <f t="shared" si="4"/>
        <v>61023</v>
      </c>
      <c r="I49" s="182">
        <f t="shared" si="5"/>
        <v>71562</v>
      </c>
      <c r="J49" s="182">
        <f t="shared" si="6"/>
        <v>317980</v>
      </c>
      <c r="K49" s="182">
        <f>INDEX(Data[FY2026 TSS Budget Guarantee],MATCH(A49,Data[Label],0))+INDEX(Data[FY2026 PD Budget Guarantee],MATCH(A49,Data[Label],0))+INDEX(Data[FY2026 Early Intervention Budget Guarantee],MATCH(A49,Data[Label],0))+INDEX(Data[FY2026 TLC Budget Gurantee],MATCH(A49,Data[Label],0))</f>
        <v>0</v>
      </c>
      <c r="L49" s="182">
        <f t="shared" si="7"/>
        <v>1581977</v>
      </c>
      <c r="M49" s="181">
        <f>INDEX(Data[FY2027 Budget Enrollment],MATCH(A49,Data[Label],0))+INDEX(Data[FY2027 ESAs],MATCH(A49,Data[Label],0))</f>
        <v>769.4</v>
      </c>
      <c r="N49" s="91">
        <f t="shared" si="8"/>
        <v>1384.6000000000001</v>
      </c>
      <c r="O49" s="91">
        <f t="shared" si="9"/>
        <v>75.489999999999995</v>
      </c>
      <c r="P49" s="91">
        <f t="shared" si="10"/>
        <v>88.399999999999991</v>
      </c>
      <c r="Q49" s="91">
        <f t="shared" si="11"/>
        <v>393</v>
      </c>
      <c r="R49" s="182">
        <f t="shared" si="17"/>
        <v>1065311</v>
      </c>
      <c r="S49" s="182">
        <f t="shared" si="18"/>
        <v>58082</v>
      </c>
      <c r="T49" s="182">
        <f t="shared" si="19"/>
        <v>68015</v>
      </c>
      <c r="U49" s="182">
        <f t="shared" ref="U49" si="57">ROUND($M49*Q49,)</f>
        <v>302374</v>
      </c>
      <c r="V49" s="182">
        <f t="shared" si="12"/>
        <v>88195</v>
      </c>
      <c r="W49" s="182">
        <f t="shared" si="13"/>
        <v>1581977</v>
      </c>
      <c r="X49" s="182">
        <f t="shared" si="14"/>
        <v>0</v>
      </c>
      <c r="Y49" s="183">
        <f t="shared" si="15"/>
        <v>0</v>
      </c>
      <c r="Z49" s="184">
        <f t="shared" si="2"/>
        <v>-55.899999999999977</v>
      </c>
      <c r="AA49" s="185">
        <f t="shared" si="16"/>
        <v>-6.7732945595540994E-2</v>
      </c>
    </row>
    <row r="50" spans="1:27" x14ac:dyDescent="0.55000000000000004">
      <c r="A50" s="230" t="s">
        <v>43</v>
      </c>
      <c r="B50" s="176">
        <f>INDEX(Data[FY2026 Budget Enrollment],MATCH(A50,Data[Label],0))+INDEX(Data[FY2026 ESA],MATCH(A50,Data[Label],0))</f>
        <v>549.70000000000005</v>
      </c>
      <c r="C50" s="218">
        <f>INDEX(Data[FY2026 TSS],MATCH(A50,Data[Label],0))</f>
        <v>1707.79</v>
      </c>
      <c r="D50" s="218">
        <f>INDEX(Data[FY2026 PD],MATCH(A50,Data[Label],0))</f>
        <v>68.59</v>
      </c>
      <c r="E50" s="218">
        <f>INDEX(Data[FY2026 Early Intervention],MATCH(A50,Data[Label],0))</f>
        <v>88.6</v>
      </c>
      <c r="F50" s="218">
        <f>INDEX(Data[FY2026 TLC],MATCH(A50,Data[Label],0))</f>
        <v>385.29</v>
      </c>
      <c r="G50" s="177">
        <f t="shared" si="3"/>
        <v>938772</v>
      </c>
      <c r="H50" s="177">
        <f t="shared" si="4"/>
        <v>37704</v>
      </c>
      <c r="I50" s="177">
        <f t="shared" si="5"/>
        <v>48703</v>
      </c>
      <c r="J50" s="177">
        <f t="shared" si="6"/>
        <v>211794</v>
      </c>
      <c r="K50" s="177">
        <f>INDEX(Data[FY2026 TSS Budget Guarantee],MATCH(A50,Data[Label],0))+INDEX(Data[FY2026 PD Budget Guarantee],MATCH(A50,Data[Label],0))+INDEX(Data[FY2026 Early Intervention Budget Guarantee],MATCH(A50,Data[Label],0))+INDEX(Data[FY2026 TLC Budget Gurantee],MATCH(A50,Data[Label],0))</f>
        <v>0</v>
      </c>
      <c r="L50" s="177">
        <f t="shared" si="7"/>
        <v>1236973</v>
      </c>
      <c r="M50" s="176">
        <f>INDEX(Data[FY2027 Budget Enrollment],MATCH(A50,Data[Label],0))+INDEX(Data[FY2027 ESAs],MATCH(A50,Data[Label],0))</f>
        <v>542.9</v>
      </c>
      <c r="N50" s="218">
        <f t="shared" si="8"/>
        <v>1721.48</v>
      </c>
      <c r="O50" s="218">
        <f t="shared" si="9"/>
        <v>70.14</v>
      </c>
      <c r="P50" s="218">
        <f t="shared" si="10"/>
        <v>90.289999999999992</v>
      </c>
      <c r="Q50" s="218">
        <f t="shared" si="11"/>
        <v>393</v>
      </c>
      <c r="R50" s="177">
        <f t="shared" si="17"/>
        <v>934591</v>
      </c>
      <c r="S50" s="177">
        <f t="shared" si="18"/>
        <v>38079</v>
      </c>
      <c r="T50" s="177">
        <f t="shared" si="19"/>
        <v>49018</v>
      </c>
      <c r="U50" s="177">
        <f t="shared" ref="U50" si="58">ROUND($M50*Q50,0)</f>
        <v>213360</v>
      </c>
      <c r="V50" s="177">
        <f t="shared" si="12"/>
        <v>4181</v>
      </c>
      <c r="W50" s="177">
        <f t="shared" si="13"/>
        <v>1239229</v>
      </c>
      <c r="X50" s="177">
        <f t="shared" si="14"/>
        <v>2256</v>
      </c>
      <c r="Y50" s="178">
        <f t="shared" si="15"/>
        <v>1.823806986894621E-3</v>
      </c>
      <c r="Z50" s="179">
        <f t="shared" si="2"/>
        <v>-6.8000000000000682</v>
      </c>
      <c r="AA50" s="180">
        <f t="shared" si="16"/>
        <v>-1.237038384573416E-2</v>
      </c>
    </row>
    <row r="51" spans="1:27" x14ac:dyDescent="0.55000000000000004">
      <c r="A51" s="229" t="s">
        <v>44</v>
      </c>
      <c r="B51" s="181">
        <f>INDEX(Data[FY2026 Budget Enrollment],MATCH(A51,Data[Label],0))+INDEX(Data[FY2026 ESA],MATCH(A51,Data[Label],0))</f>
        <v>1987.2</v>
      </c>
      <c r="C51" s="91">
        <f>INDEX(Data[FY2026 TSS],MATCH(A51,Data[Label],0))</f>
        <v>786.54</v>
      </c>
      <c r="D51" s="91">
        <f>INDEX(Data[FY2026 PD],MATCH(A51,Data[Label],0))</f>
        <v>69.290000000000006</v>
      </c>
      <c r="E51" s="91">
        <f>INDEX(Data[FY2026 Early Intervention],MATCH(A51,Data[Label],0))</f>
        <v>81.47</v>
      </c>
      <c r="F51" s="91">
        <f>INDEX(Data[FY2026 TLC],MATCH(A51,Data[Label],0))</f>
        <v>385.29</v>
      </c>
      <c r="G51" s="182">
        <f t="shared" si="3"/>
        <v>1563012</v>
      </c>
      <c r="H51" s="182">
        <f t="shared" si="4"/>
        <v>137693</v>
      </c>
      <c r="I51" s="182">
        <f t="shared" si="5"/>
        <v>161897</v>
      </c>
      <c r="J51" s="182">
        <f t="shared" si="6"/>
        <v>765648</v>
      </c>
      <c r="K51" s="182">
        <f>INDEX(Data[FY2026 TSS Budget Guarantee],MATCH(A51,Data[Label],0))+INDEX(Data[FY2026 PD Budget Guarantee],MATCH(A51,Data[Label],0))+INDEX(Data[FY2026 Early Intervention Budget Guarantee],MATCH(A51,Data[Label],0))+INDEX(Data[FY2026 TLC Budget Gurantee],MATCH(A51,Data[Label],0))</f>
        <v>0</v>
      </c>
      <c r="L51" s="182">
        <f t="shared" si="7"/>
        <v>2628250</v>
      </c>
      <c r="M51" s="181">
        <f>INDEX(Data[FY2027 Budget Enrollment],MATCH(A51,Data[Label],0))+INDEX(Data[FY2027 ESAs],MATCH(A51,Data[Label],0))</f>
        <v>1969.8</v>
      </c>
      <c r="N51" s="91">
        <f t="shared" si="8"/>
        <v>800.23</v>
      </c>
      <c r="O51" s="91">
        <f t="shared" si="9"/>
        <v>70.84</v>
      </c>
      <c r="P51" s="91">
        <f t="shared" si="10"/>
        <v>83.16</v>
      </c>
      <c r="Q51" s="91">
        <f t="shared" si="11"/>
        <v>393</v>
      </c>
      <c r="R51" s="182">
        <f t="shared" si="17"/>
        <v>1576293</v>
      </c>
      <c r="S51" s="182">
        <f t="shared" si="18"/>
        <v>139541</v>
      </c>
      <c r="T51" s="182">
        <f t="shared" si="19"/>
        <v>163809</v>
      </c>
      <c r="U51" s="182">
        <f t="shared" ref="U51" si="59">ROUND($M51*Q51,)</f>
        <v>774131</v>
      </c>
      <c r="V51" s="182">
        <f t="shared" si="12"/>
        <v>0</v>
      </c>
      <c r="W51" s="182">
        <f t="shared" si="13"/>
        <v>2653774</v>
      </c>
      <c r="X51" s="182">
        <f t="shared" si="14"/>
        <v>25524</v>
      </c>
      <c r="Y51" s="183">
        <f t="shared" si="15"/>
        <v>9.71140492723295E-3</v>
      </c>
      <c r="Z51" s="184">
        <f t="shared" si="2"/>
        <v>-17.400000000000091</v>
      </c>
      <c r="AA51" s="185">
        <f t="shared" si="16"/>
        <v>-8.756038647343041E-3</v>
      </c>
    </row>
    <row r="52" spans="1:27" x14ac:dyDescent="0.55000000000000004">
      <c r="A52" s="230" t="s">
        <v>45</v>
      </c>
      <c r="B52" s="176">
        <f>INDEX(Data[FY2026 Budget Enrollment],MATCH(A52,Data[Label],0))+INDEX(Data[FY2026 ESA],MATCH(A52,Data[Label],0))</f>
        <v>2221.1</v>
      </c>
      <c r="C52" s="218">
        <f>INDEX(Data[FY2026 TSS],MATCH(A52,Data[Label],0))</f>
        <v>792.21</v>
      </c>
      <c r="D52" s="218">
        <f>INDEX(Data[FY2026 PD],MATCH(A52,Data[Label],0))</f>
        <v>76.5</v>
      </c>
      <c r="E52" s="218">
        <f>INDEX(Data[FY2026 Early Intervention],MATCH(A52,Data[Label],0))</f>
        <v>78.02</v>
      </c>
      <c r="F52" s="218">
        <f>INDEX(Data[FY2026 TLC],MATCH(A52,Data[Label],0))</f>
        <v>385.29</v>
      </c>
      <c r="G52" s="177">
        <f t="shared" si="3"/>
        <v>1759578</v>
      </c>
      <c r="H52" s="177">
        <f t="shared" si="4"/>
        <v>169914</v>
      </c>
      <c r="I52" s="177">
        <f t="shared" si="5"/>
        <v>173290</v>
      </c>
      <c r="J52" s="177">
        <f t="shared" si="6"/>
        <v>855768</v>
      </c>
      <c r="K52" s="177">
        <f>INDEX(Data[FY2026 TSS Budget Guarantee],MATCH(A52,Data[Label],0))+INDEX(Data[FY2026 PD Budget Guarantee],MATCH(A52,Data[Label],0))+INDEX(Data[FY2026 Early Intervention Budget Guarantee],MATCH(A52,Data[Label],0))+INDEX(Data[FY2026 TLC Budget Gurantee],MATCH(A52,Data[Label],0))</f>
        <v>0</v>
      </c>
      <c r="L52" s="177">
        <f t="shared" si="7"/>
        <v>2958550</v>
      </c>
      <c r="M52" s="176">
        <f>INDEX(Data[FY2027 Budget Enrollment],MATCH(A52,Data[Label],0))+INDEX(Data[FY2027 ESAs],MATCH(A52,Data[Label],0))</f>
        <v>2445.6999999999998</v>
      </c>
      <c r="N52" s="218">
        <f t="shared" si="8"/>
        <v>805.90000000000009</v>
      </c>
      <c r="O52" s="218">
        <f t="shared" si="9"/>
        <v>78.05</v>
      </c>
      <c r="P52" s="218">
        <f t="shared" si="10"/>
        <v>79.709999999999994</v>
      </c>
      <c r="Q52" s="218">
        <f t="shared" si="11"/>
        <v>393</v>
      </c>
      <c r="R52" s="177">
        <f t="shared" si="17"/>
        <v>1970990</v>
      </c>
      <c r="S52" s="177">
        <f t="shared" si="18"/>
        <v>190887</v>
      </c>
      <c r="T52" s="177">
        <f t="shared" si="19"/>
        <v>194947</v>
      </c>
      <c r="U52" s="177">
        <f t="shared" ref="U52" si="60">ROUND($M52*Q52,0)</f>
        <v>961160</v>
      </c>
      <c r="V52" s="177">
        <f t="shared" si="12"/>
        <v>0</v>
      </c>
      <c r="W52" s="177">
        <f t="shared" si="13"/>
        <v>3317984</v>
      </c>
      <c r="X52" s="177">
        <f t="shared" si="14"/>
        <v>359434</v>
      </c>
      <c r="Y52" s="178">
        <f t="shared" si="15"/>
        <v>0.12148991904818239</v>
      </c>
      <c r="Z52" s="179">
        <f t="shared" si="2"/>
        <v>224.59999999999991</v>
      </c>
      <c r="AA52" s="180">
        <f t="shared" si="16"/>
        <v>0.10112106613839986</v>
      </c>
    </row>
    <row r="53" spans="1:27" x14ac:dyDescent="0.55000000000000004">
      <c r="A53" s="229" t="s">
        <v>46</v>
      </c>
      <c r="B53" s="181">
        <f>INDEX(Data[FY2026 Budget Enrollment],MATCH(A53,Data[Label],0))+INDEX(Data[FY2026 ESA],MATCH(A53,Data[Label],0))</f>
        <v>5724.8</v>
      </c>
      <c r="C53" s="91">
        <f>INDEX(Data[FY2026 TSS],MATCH(A53,Data[Label],0))</f>
        <v>731.69</v>
      </c>
      <c r="D53" s="91">
        <f>INDEX(Data[FY2026 PD],MATCH(A53,Data[Label],0))</f>
        <v>79.36</v>
      </c>
      <c r="E53" s="91">
        <f>INDEX(Data[FY2026 Early Intervention],MATCH(A53,Data[Label],0))</f>
        <v>80.28</v>
      </c>
      <c r="F53" s="91">
        <f>INDEX(Data[FY2026 TLC],MATCH(A53,Data[Label],0))</f>
        <v>385.29</v>
      </c>
      <c r="G53" s="182">
        <f t="shared" si="3"/>
        <v>4188779</v>
      </c>
      <c r="H53" s="182">
        <f t="shared" si="4"/>
        <v>454320</v>
      </c>
      <c r="I53" s="182">
        <f t="shared" si="5"/>
        <v>459587</v>
      </c>
      <c r="J53" s="182">
        <f t="shared" si="6"/>
        <v>2205708</v>
      </c>
      <c r="K53" s="182">
        <f>INDEX(Data[FY2026 TSS Budget Guarantee],MATCH(A53,Data[Label],0))+INDEX(Data[FY2026 PD Budget Guarantee],MATCH(A53,Data[Label],0))+INDEX(Data[FY2026 Early Intervention Budget Guarantee],MATCH(A53,Data[Label],0))+INDEX(Data[FY2026 TLC Budget Gurantee],MATCH(A53,Data[Label],0))</f>
        <v>0</v>
      </c>
      <c r="L53" s="182">
        <f t="shared" si="7"/>
        <v>7308394</v>
      </c>
      <c r="M53" s="181">
        <f>INDEX(Data[FY2027 Budget Enrollment],MATCH(A53,Data[Label],0))+INDEX(Data[FY2027 ESAs],MATCH(A53,Data[Label],0))</f>
        <v>5821.1</v>
      </c>
      <c r="N53" s="91">
        <f t="shared" si="8"/>
        <v>745.38000000000011</v>
      </c>
      <c r="O53" s="91">
        <f t="shared" si="9"/>
        <v>80.91</v>
      </c>
      <c r="P53" s="91">
        <f t="shared" si="10"/>
        <v>81.97</v>
      </c>
      <c r="Q53" s="91">
        <f t="shared" si="11"/>
        <v>393</v>
      </c>
      <c r="R53" s="182">
        <f t="shared" si="17"/>
        <v>4338932</v>
      </c>
      <c r="S53" s="182">
        <f t="shared" si="18"/>
        <v>470985</v>
      </c>
      <c r="T53" s="182">
        <f t="shared" si="19"/>
        <v>477156</v>
      </c>
      <c r="U53" s="182">
        <f t="shared" ref="U53" si="61">ROUND($M53*Q53,)</f>
        <v>2287692</v>
      </c>
      <c r="V53" s="182">
        <f t="shared" si="12"/>
        <v>0</v>
      </c>
      <c r="W53" s="182">
        <f t="shared" si="13"/>
        <v>7574765</v>
      </c>
      <c r="X53" s="182">
        <f t="shared" si="14"/>
        <v>266371</v>
      </c>
      <c r="Y53" s="183">
        <f t="shared" si="15"/>
        <v>3.6447268715944982E-2</v>
      </c>
      <c r="Z53" s="184">
        <f t="shared" si="2"/>
        <v>96.300000000000182</v>
      </c>
      <c r="AA53" s="185">
        <f t="shared" si="16"/>
        <v>1.6821548351034128E-2</v>
      </c>
    </row>
    <row r="54" spans="1:27" x14ac:dyDescent="0.55000000000000004">
      <c r="A54" s="230" t="s">
        <v>47</v>
      </c>
      <c r="B54" s="176">
        <f>INDEX(Data[FY2026 Budget Enrollment],MATCH(A54,Data[Label],0))+INDEX(Data[FY2026 ESA],MATCH(A54,Data[Label],0))</f>
        <v>17447.7</v>
      </c>
      <c r="C54" s="218">
        <f>INDEX(Data[FY2026 TSS],MATCH(A54,Data[Label],0))</f>
        <v>736.27</v>
      </c>
      <c r="D54" s="218">
        <f>INDEX(Data[FY2026 PD],MATCH(A54,Data[Label],0))</f>
        <v>78.95</v>
      </c>
      <c r="E54" s="218">
        <f>INDEX(Data[FY2026 Early Intervention],MATCH(A54,Data[Label],0))</f>
        <v>86.13</v>
      </c>
      <c r="F54" s="218">
        <f>INDEX(Data[FY2026 TLC],MATCH(A54,Data[Label],0))</f>
        <v>385.29</v>
      </c>
      <c r="G54" s="177">
        <f t="shared" si="3"/>
        <v>12846218</v>
      </c>
      <c r="H54" s="177">
        <f t="shared" si="4"/>
        <v>1377496</v>
      </c>
      <c r="I54" s="177">
        <f t="shared" si="5"/>
        <v>1502770</v>
      </c>
      <c r="J54" s="177">
        <f t="shared" si="6"/>
        <v>6722424</v>
      </c>
      <c r="K54" s="177">
        <f>INDEX(Data[FY2026 TSS Budget Guarantee],MATCH(A54,Data[Label],0))+INDEX(Data[FY2026 PD Budget Guarantee],MATCH(A54,Data[Label],0))+INDEX(Data[FY2026 Early Intervention Budget Guarantee],MATCH(A54,Data[Label],0))+INDEX(Data[FY2026 TLC Budget Gurantee],MATCH(A54,Data[Label],0))</f>
        <v>0</v>
      </c>
      <c r="L54" s="177">
        <f t="shared" si="7"/>
        <v>22448908</v>
      </c>
      <c r="M54" s="176">
        <f>INDEX(Data[FY2027 Budget Enrollment],MATCH(A54,Data[Label],0))+INDEX(Data[FY2027 ESAs],MATCH(A54,Data[Label],0))</f>
        <v>18201.2</v>
      </c>
      <c r="N54" s="218">
        <f t="shared" si="8"/>
        <v>749.96</v>
      </c>
      <c r="O54" s="218">
        <f t="shared" si="9"/>
        <v>80.5</v>
      </c>
      <c r="P54" s="218">
        <f t="shared" si="10"/>
        <v>87.82</v>
      </c>
      <c r="Q54" s="218">
        <f t="shared" si="11"/>
        <v>393</v>
      </c>
      <c r="R54" s="177">
        <f t="shared" si="17"/>
        <v>13650172</v>
      </c>
      <c r="S54" s="177">
        <f t="shared" si="18"/>
        <v>1465197</v>
      </c>
      <c r="T54" s="177">
        <f t="shared" si="19"/>
        <v>1598429</v>
      </c>
      <c r="U54" s="177">
        <f t="shared" ref="U54" si="62">ROUND($M54*Q54,0)</f>
        <v>7153072</v>
      </c>
      <c r="V54" s="177">
        <f t="shared" si="12"/>
        <v>0</v>
      </c>
      <c r="W54" s="177">
        <f t="shared" si="13"/>
        <v>23866870</v>
      </c>
      <c r="X54" s="177">
        <f t="shared" si="14"/>
        <v>1417962</v>
      </c>
      <c r="Y54" s="178">
        <f t="shared" si="15"/>
        <v>6.3163963253802816E-2</v>
      </c>
      <c r="Z54" s="179">
        <f t="shared" si="2"/>
        <v>753.5</v>
      </c>
      <c r="AA54" s="180">
        <f t="shared" si="16"/>
        <v>4.3186207924253622E-2</v>
      </c>
    </row>
    <row r="55" spans="1:27" x14ac:dyDescent="0.55000000000000004">
      <c r="A55" s="229" t="s">
        <v>48</v>
      </c>
      <c r="B55" s="181">
        <f>INDEX(Data[FY2026 Budget Enrollment],MATCH(A55,Data[Label],0))+INDEX(Data[FY2026 ESA],MATCH(A55,Data[Label],0))</f>
        <v>1135.2</v>
      </c>
      <c r="C55" s="91">
        <f>INDEX(Data[FY2026 TSS],MATCH(A55,Data[Label],0))</f>
        <v>903.82</v>
      </c>
      <c r="D55" s="91">
        <f>INDEX(Data[FY2026 PD],MATCH(A55,Data[Label],0))</f>
        <v>75.58</v>
      </c>
      <c r="E55" s="91">
        <f>INDEX(Data[FY2026 Early Intervention],MATCH(A55,Data[Label],0))</f>
        <v>78.62</v>
      </c>
      <c r="F55" s="91">
        <f>INDEX(Data[FY2026 TLC],MATCH(A55,Data[Label],0))</f>
        <v>385.29</v>
      </c>
      <c r="G55" s="182">
        <f t="shared" si="3"/>
        <v>1026016</v>
      </c>
      <c r="H55" s="182">
        <f t="shared" si="4"/>
        <v>85798</v>
      </c>
      <c r="I55" s="182">
        <f t="shared" si="5"/>
        <v>89249</v>
      </c>
      <c r="J55" s="182">
        <f t="shared" si="6"/>
        <v>437381</v>
      </c>
      <c r="K55" s="182">
        <f>INDEX(Data[FY2026 TSS Budget Guarantee],MATCH(A55,Data[Label],0))+INDEX(Data[FY2026 PD Budget Guarantee],MATCH(A55,Data[Label],0))+INDEX(Data[FY2026 Early Intervention Budget Guarantee],MATCH(A55,Data[Label],0))+INDEX(Data[FY2026 TLC Budget Gurantee],MATCH(A55,Data[Label],0))</f>
        <v>11086</v>
      </c>
      <c r="L55" s="182">
        <f t="shared" si="7"/>
        <v>1649530</v>
      </c>
      <c r="M55" s="181">
        <f>INDEX(Data[FY2027 Budget Enrollment],MATCH(A55,Data[Label],0))+INDEX(Data[FY2027 ESAs],MATCH(A55,Data[Label],0))</f>
        <v>1092.0999999999999</v>
      </c>
      <c r="N55" s="91">
        <f t="shared" si="8"/>
        <v>917.5100000000001</v>
      </c>
      <c r="O55" s="91">
        <f t="shared" si="9"/>
        <v>77.13</v>
      </c>
      <c r="P55" s="91">
        <f t="shared" si="10"/>
        <v>80.31</v>
      </c>
      <c r="Q55" s="91">
        <f t="shared" si="11"/>
        <v>393</v>
      </c>
      <c r="R55" s="182">
        <f t="shared" si="17"/>
        <v>1002013</v>
      </c>
      <c r="S55" s="182">
        <f t="shared" si="18"/>
        <v>84234</v>
      </c>
      <c r="T55" s="182">
        <f t="shared" si="19"/>
        <v>87707</v>
      </c>
      <c r="U55" s="182">
        <f t="shared" ref="U55" si="63">ROUND($M55*Q55,)</f>
        <v>429195</v>
      </c>
      <c r="V55" s="182">
        <f t="shared" si="12"/>
        <v>35295</v>
      </c>
      <c r="W55" s="182">
        <f t="shared" si="13"/>
        <v>1638444</v>
      </c>
      <c r="X55" s="182">
        <f t="shared" si="14"/>
        <v>-11086</v>
      </c>
      <c r="Y55" s="183">
        <f t="shared" si="15"/>
        <v>-6.7207022606439407E-3</v>
      </c>
      <c r="Z55" s="184">
        <f t="shared" si="2"/>
        <v>-43.100000000000136</v>
      </c>
      <c r="AA55" s="185">
        <f t="shared" si="16"/>
        <v>-3.7966878083157268E-2</v>
      </c>
    </row>
    <row r="56" spans="1:27" x14ac:dyDescent="0.55000000000000004">
      <c r="A56" s="230" t="s">
        <v>49</v>
      </c>
      <c r="B56" s="176">
        <f>INDEX(Data[FY2026 Budget Enrollment],MATCH(A56,Data[Label],0))+INDEX(Data[FY2026 ESA],MATCH(A56,Data[Label],0))</f>
        <v>1264.0999999999999</v>
      </c>
      <c r="C56" s="218">
        <f>INDEX(Data[FY2026 TSS],MATCH(A56,Data[Label],0))</f>
        <v>905.8</v>
      </c>
      <c r="D56" s="218">
        <f>INDEX(Data[FY2026 PD],MATCH(A56,Data[Label],0))</f>
        <v>78.38</v>
      </c>
      <c r="E56" s="218">
        <f>INDEX(Data[FY2026 Early Intervention],MATCH(A56,Data[Label],0))</f>
        <v>83.23</v>
      </c>
      <c r="F56" s="218">
        <f>INDEX(Data[FY2026 TLC],MATCH(A56,Data[Label],0))</f>
        <v>385.29</v>
      </c>
      <c r="G56" s="177">
        <f t="shared" si="3"/>
        <v>1145022</v>
      </c>
      <c r="H56" s="177">
        <f t="shared" si="4"/>
        <v>99080</v>
      </c>
      <c r="I56" s="177">
        <f t="shared" si="5"/>
        <v>105211</v>
      </c>
      <c r="J56" s="177">
        <f t="shared" si="6"/>
        <v>487045</v>
      </c>
      <c r="K56" s="177">
        <f>INDEX(Data[FY2026 TSS Budget Guarantee],MATCH(A56,Data[Label],0))+INDEX(Data[FY2026 PD Budget Guarantee],MATCH(A56,Data[Label],0))+INDEX(Data[FY2026 Early Intervention Budget Guarantee],MATCH(A56,Data[Label],0))+INDEX(Data[FY2026 TLC Budget Gurantee],MATCH(A56,Data[Label],0))</f>
        <v>22038</v>
      </c>
      <c r="L56" s="177">
        <f t="shared" si="7"/>
        <v>1858396</v>
      </c>
      <c r="M56" s="176">
        <f>INDEX(Data[FY2027 Budget Enrollment],MATCH(A56,Data[Label],0))+INDEX(Data[FY2027 ESAs],MATCH(A56,Data[Label],0))</f>
        <v>1206.0999999999999</v>
      </c>
      <c r="N56" s="218">
        <f t="shared" si="8"/>
        <v>919.49</v>
      </c>
      <c r="O56" s="218">
        <f t="shared" si="9"/>
        <v>79.929999999999993</v>
      </c>
      <c r="P56" s="218">
        <f t="shared" si="10"/>
        <v>84.92</v>
      </c>
      <c r="Q56" s="218">
        <f t="shared" si="11"/>
        <v>393</v>
      </c>
      <c r="R56" s="177">
        <f t="shared" si="17"/>
        <v>1108997</v>
      </c>
      <c r="S56" s="177">
        <f t="shared" si="18"/>
        <v>96404</v>
      </c>
      <c r="T56" s="177">
        <f t="shared" si="19"/>
        <v>102422</v>
      </c>
      <c r="U56" s="177">
        <f t="shared" ref="U56" si="64">ROUND($M56*Q56,0)</f>
        <v>473997</v>
      </c>
      <c r="V56" s="177">
        <f t="shared" si="12"/>
        <v>54538</v>
      </c>
      <c r="W56" s="177">
        <f t="shared" si="13"/>
        <v>1836358</v>
      </c>
      <c r="X56" s="177">
        <f t="shared" si="14"/>
        <v>-22038</v>
      </c>
      <c r="Y56" s="178">
        <f t="shared" si="15"/>
        <v>-1.1858613557067493E-2</v>
      </c>
      <c r="Z56" s="179">
        <f t="shared" si="2"/>
        <v>-58</v>
      </c>
      <c r="AA56" s="180">
        <f t="shared" si="16"/>
        <v>-4.588244600901828E-2</v>
      </c>
    </row>
    <row r="57" spans="1:27" x14ac:dyDescent="0.55000000000000004">
      <c r="A57" s="229" t="s">
        <v>50</v>
      </c>
      <c r="B57" s="181">
        <f>INDEX(Data[FY2026 Budget Enrollment],MATCH(A57,Data[Label],0))+INDEX(Data[FY2026 ESA],MATCH(A57,Data[Label],0))</f>
        <v>419.3</v>
      </c>
      <c r="C57" s="91">
        <f>INDEX(Data[FY2026 TSS],MATCH(A57,Data[Label],0))</f>
        <v>1509.3</v>
      </c>
      <c r="D57" s="91">
        <f>INDEX(Data[FY2026 PD],MATCH(A57,Data[Label],0))</f>
        <v>73.06</v>
      </c>
      <c r="E57" s="91">
        <f>INDEX(Data[FY2026 Early Intervention],MATCH(A57,Data[Label],0))</f>
        <v>82.75</v>
      </c>
      <c r="F57" s="91">
        <f>INDEX(Data[FY2026 TLC],MATCH(A57,Data[Label],0))</f>
        <v>385.29</v>
      </c>
      <c r="G57" s="182">
        <f t="shared" si="3"/>
        <v>632849</v>
      </c>
      <c r="H57" s="182">
        <f t="shared" si="4"/>
        <v>30634</v>
      </c>
      <c r="I57" s="182">
        <f t="shared" si="5"/>
        <v>34697</v>
      </c>
      <c r="J57" s="182">
        <f t="shared" si="6"/>
        <v>161552</v>
      </c>
      <c r="K57" s="182">
        <f>INDEX(Data[FY2026 TSS Budget Guarantee],MATCH(A57,Data[Label],0))+INDEX(Data[FY2026 PD Budget Guarantee],MATCH(A57,Data[Label],0))+INDEX(Data[FY2026 Early Intervention Budget Guarantee],MATCH(A57,Data[Label],0))+INDEX(Data[FY2026 TLC Budget Gurantee],MATCH(A57,Data[Label],0))</f>
        <v>84</v>
      </c>
      <c r="L57" s="182">
        <f t="shared" si="7"/>
        <v>859816</v>
      </c>
      <c r="M57" s="181">
        <f>INDEX(Data[FY2027 Budget Enrollment],MATCH(A57,Data[Label],0))+INDEX(Data[FY2027 ESAs],MATCH(A57,Data[Label],0))</f>
        <v>401.6</v>
      </c>
      <c r="N57" s="91">
        <f t="shared" si="8"/>
        <v>1522.99</v>
      </c>
      <c r="O57" s="91">
        <f t="shared" si="9"/>
        <v>74.61</v>
      </c>
      <c r="P57" s="91">
        <f t="shared" si="10"/>
        <v>84.44</v>
      </c>
      <c r="Q57" s="91">
        <f t="shared" si="11"/>
        <v>393</v>
      </c>
      <c r="R57" s="182">
        <f t="shared" si="17"/>
        <v>611633</v>
      </c>
      <c r="S57" s="182">
        <f t="shared" si="18"/>
        <v>29963</v>
      </c>
      <c r="T57" s="182">
        <f t="shared" si="19"/>
        <v>33911</v>
      </c>
      <c r="U57" s="182">
        <f t="shared" ref="U57" si="65">ROUND($M57*Q57,)</f>
        <v>157829</v>
      </c>
      <c r="V57" s="182">
        <f t="shared" si="12"/>
        <v>26396</v>
      </c>
      <c r="W57" s="182">
        <f t="shared" si="13"/>
        <v>859732</v>
      </c>
      <c r="X57" s="182">
        <f t="shared" si="14"/>
        <v>-84</v>
      </c>
      <c r="Y57" s="183">
        <f t="shared" si="15"/>
        <v>-9.7695320859346652E-5</v>
      </c>
      <c r="Z57" s="184">
        <f t="shared" si="2"/>
        <v>-17.699999999999989</v>
      </c>
      <c r="AA57" s="185">
        <f t="shared" si="16"/>
        <v>-4.2213212497018815E-2</v>
      </c>
    </row>
    <row r="58" spans="1:27" x14ac:dyDescent="0.55000000000000004">
      <c r="A58" s="230" t="s">
        <v>51</v>
      </c>
      <c r="B58" s="176">
        <f>INDEX(Data[FY2026 Budget Enrollment],MATCH(A58,Data[Label],0))+INDEX(Data[FY2026 ESA],MATCH(A58,Data[Label],0))</f>
        <v>456.1</v>
      </c>
      <c r="C58" s="218">
        <f>INDEX(Data[FY2026 TSS],MATCH(A58,Data[Label],0))</f>
        <v>1147.72</v>
      </c>
      <c r="D58" s="218">
        <f>INDEX(Data[FY2026 PD],MATCH(A58,Data[Label],0))</f>
        <v>73.5</v>
      </c>
      <c r="E58" s="218">
        <f>INDEX(Data[FY2026 Early Intervention],MATCH(A58,Data[Label],0))</f>
        <v>73.760000000000005</v>
      </c>
      <c r="F58" s="218">
        <f>INDEX(Data[FY2026 TLC],MATCH(A58,Data[Label],0))</f>
        <v>385.29</v>
      </c>
      <c r="G58" s="177">
        <f t="shared" si="3"/>
        <v>523475</v>
      </c>
      <c r="H58" s="177">
        <f t="shared" si="4"/>
        <v>33523</v>
      </c>
      <c r="I58" s="177">
        <f t="shared" si="5"/>
        <v>33642</v>
      </c>
      <c r="J58" s="177">
        <f t="shared" si="6"/>
        <v>175731</v>
      </c>
      <c r="K58" s="177">
        <f>INDEX(Data[FY2026 TSS Budget Guarantee],MATCH(A58,Data[Label],0))+INDEX(Data[FY2026 PD Budget Guarantee],MATCH(A58,Data[Label],0))+INDEX(Data[FY2026 Early Intervention Budget Guarantee],MATCH(A58,Data[Label],0))+INDEX(Data[FY2026 TLC Budget Gurantee],MATCH(A58,Data[Label],0))</f>
        <v>950</v>
      </c>
      <c r="L58" s="177">
        <f t="shared" si="7"/>
        <v>767321</v>
      </c>
      <c r="M58" s="176">
        <f>INDEX(Data[FY2027 Budget Enrollment],MATCH(A58,Data[Label],0))+INDEX(Data[FY2027 ESAs],MATCH(A58,Data[Label],0))</f>
        <v>452.3</v>
      </c>
      <c r="N58" s="218">
        <f t="shared" si="8"/>
        <v>1161.4100000000001</v>
      </c>
      <c r="O58" s="218">
        <f t="shared" si="9"/>
        <v>75.05</v>
      </c>
      <c r="P58" s="218">
        <f t="shared" si="10"/>
        <v>75.45</v>
      </c>
      <c r="Q58" s="218">
        <f t="shared" si="11"/>
        <v>393</v>
      </c>
      <c r="R58" s="177">
        <f t="shared" si="17"/>
        <v>525306</v>
      </c>
      <c r="S58" s="177">
        <f t="shared" si="18"/>
        <v>33945</v>
      </c>
      <c r="T58" s="177">
        <f t="shared" si="19"/>
        <v>34126</v>
      </c>
      <c r="U58" s="177">
        <f t="shared" ref="U58" si="66">ROUND($M58*Q58,0)</f>
        <v>177754</v>
      </c>
      <c r="V58" s="177">
        <f t="shared" si="12"/>
        <v>0</v>
      </c>
      <c r="W58" s="177">
        <f t="shared" si="13"/>
        <v>771131</v>
      </c>
      <c r="X58" s="177">
        <f t="shared" si="14"/>
        <v>3810</v>
      </c>
      <c r="Y58" s="178">
        <f t="shared" si="15"/>
        <v>4.9653274183816161E-3</v>
      </c>
      <c r="Z58" s="179">
        <f t="shared" si="2"/>
        <v>-3.8000000000000114</v>
      </c>
      <c r="AA58" s="180">
        <f t="shared" si="16"/>
        <v>-8.3315062486297112E-3</v>
      </c>
    </row>
    <row r="59" spans="1:27" x14ac:dyDescent="0.55000000000000004">
      <c r="A59" s="229" t="s">
        <v>52</v>
      </c>
      <c r="B59" s="181">
        <f>INDEX(Data[FY2026 Budget Enrollment],MATCH(A59,Data[Label],0))+INDEX(Data[FY2026 ESA],MATCH(A59,Data[Label],0))</f>
        <v>1582.4</v>
      </c>
      <c r="C59" s="91">
        <f>INDEX(Data[FY2026 TSS],MATCH(A59,Data[Label],0))</f>
        <v>1101.6600000000001</v>
      </c>
      <c r="D59" s="91">
        <f>INDEX(Data[FY2026 PD],MATCH(A59,Data[Label],0))</f>
        <v>76.260000000000005</v>
      </c>
      <c r="E59" s="91">
        <f>INDEX(Data[FY2026 Early Intervention],MATCH(A59,Data[Label],0))</f>
        <v>73.77</v>
      </c>
      <c r="F59" s="91">
        <f>INDEX(Data[FY2026 TLC],MATCH(A59,Data[Label],0))</f>
        <v>385.29</v>
      </c>
      <c r="G59" s="182">
        <f t="shared" si="3"/>
        <v>1743267</v>
      </c>
      <c r="H59" s="182">
        <f t="shared" si="4"/>
        <v>120674</v>
      </c>
      <c r="I59" s="182">
        <f t="shared" si="5"/>
        <v>116734</v>
      </c>
      <c r="J59" s="182">
        <f t="shared" si="6"/>
        <v>609683</v>
      </c>
      <c r="K59" s="182">
        <f>INDEX(Data[FY2026 TSS Budget Guarantee],MATCH(A59,Data[Label],0))+INDEX(Data[FY2026 PD Budget Guarantee],MATCH(A59,Data[Label],0))+INDEX(Data[FY2026 Early Intervention Budget Guarantee],MATCH(A59,Data[Label],0))+INDEX(Data[FY2026 TLC Budget Gurantee],MATCH(A59,Data[Label],0))</f>
        <v>0</v>
      </c>
      <c r="L59" s="182">
        <f t="shared" si="7"/>
        <v>2590358</v>
      </c>
      <c r="M59" s="181">
        <f>INDEX(Data[FY2027 Budget Enrollment],MATCH(A59,Data[Label],0))+INDEX(Data[FY2027 ESAs],MATCH(A59,Data[Label],0))</f>
        <v>1619.3</v>
      </c>
      <c r="N59" s="91">
        <f t="shared" si="8"/>
        <v>1115.3500000000001</v>
      </c>
      <c r="O59" s="91">
        <f t="shared" si="9"/>
        <v>77.81</v>
      </c>
      <c r="P59" s="91">
        <f t="shared" si="10"/>
        <v>75.459999999999994</v>
      </c>
      <c r="Q59" s="91">
        <f t="shared" si="11"/>
        <v>393</v>
      </c>
      <c r="R59" s="182">
        <f t="shared" si="17"/>
        <v>1806086</v>
      </c>
      <c r="S59" s="182">
        <f t="shared" si="18"/>
        <v>125998</v>
      </c>
      <c r="T59" s="182">
        <f t="shared" si="19"/>
        <v>122192</v>
      </c>
      <c r="U59" s="182">
        <f t="shared" ref="U59" si="67">ROUND($M59*Q59,)</f>
        <v>636385</v>
      </c>
      <c r="V59" s="182">
        <f t="shared" si="12"/>
        <v>0</v>
      </c>
      <c r="W59" s="182">
        <f t="shared" si="13"/>
        <v>2690661</v>
      </c>
      <c r="X59" s="182">
        <f t="shared" si="14"/>
        <v>100303</v>
      </c>
      <c r="Y59" s="183">
        <f t="shared" si="15"/>
        <v>3.8721674764646434E-2</v>
      </c>
      <c r="Z59" s="184">
        <f t="shared" si="2"/>
        <v>36.899999999999864</v>
      </c>
      <c r="AA59" s="185">
        <f t="shared" si="16"/>
        <v>2.3319009100101026E-2</v>
      </c>
    </row>
    <row r="60" spans="1:27" x14ac:dyDescent="0.55000000000000004">
      <c r="A60" s="230" t="s">
        <v>53</v>
      </c>
      <c r="B60" s="176">
        <f>INDEX(Data[FY2026 Budget Enrollment],MATCH(A60,Data[Label],0))+INDEX(Data[FY2026 ESA],MATCH(A60,Data[Label],0))</f>
        <v>602.5</v>
      </c>
      <c r="C60" s="218">
        <f>INDEX(Data[FY2026 TSS],MATCH(A60,Data[Label],0))</f>
        <v>1277.72</v>
      </c>
      <c r="D60" s="218">
        <f>INDEX(Data[FY2026 PD],MATCH(A60,Data[Label],0))</f>
        <v>74.31</v>
      </c>
      <c r="E60" s="218">
        <f>INDEX(Data[FY2026 Early Intervention],MATCH(A60,Data[Label],0))</f>
        <v>94.07</v>
      </c>
      <c r="F60" s="218">
        <f>INDEX(Data[FY2026 TLC],MATCH(A60,Data[Label],0))</f>
        <v>385.29</v>
      </c>
      <c r="G60" s="177">
        <f t="shared" si="3"/>
        <v>769826</v>
      </c>
      <c r="H60" s="177">
        <f t="shared" si="4"/>
        <v>44772</v>
      </c>
      <c r="I60" s="177">
        <f t="shared" si="5"/>
        <v>56677</v>
      </c>
      <c r="J60" s="177">
        <f t="shared" si="6"/>
        <v>232137</v>
      </c>
      <c r="K60" s="177">
        <f>INDEX(Data[FY2026 TSS Budget Guarantee],MATCH(A60,Data[Label],0))+INDEX(Data[FY2026 PD Budget Guarantee],MATCH(A60,Data[Label],0))+INDEX(Data[FY2026 Early Intervention Budget Guarantee],MATCH(A60,Data[Label],0))+INDEX(Data[FY2026 TLC Budget Gurantee],MATCH(A60,Data[Label],0))</f>
        <v>9769</v>
      </c>
      <c r="L60" s="177">
        <f t="shared" si="7"/>
        <v>1113181</v>
      </c>
      <c r="M60" s="176">
        <f>INDEX(Data[FY2027 Budget Enrollment],MATCH(A60,Data[Label],0))+INDEX(Data[FY2027 ESAs],MATCH(A60,Data[Label],0))</f>
        <v>564.20000000000005</v>
      </c>
      <c r="N60" s="218">
        <f t="shared" si="8"/>
        <v>1291.4100000000001</v>
      </c>
      <c r="O60" s="218">
        <f t="shared" si="9"/>
        <v>75.86</v>
      </c>
      <c r="P60" s="218">
        <f t="shared" si="10"/>
        <v>95.759999999999991</v>
      </c>
      <c r="Q60" s="218">
        <f t="shared" si="11"/>
        <v>393</v>
      </c>
      <c r="R60" s="177">
        <f t="shared" si="17"/>
        <v>728614</v>
      </c>
      <c r="S60" s="177">
        <f t="shared" si="18"/>
        <v>42800</v>
      </c>
      <c r="T60" s="177">
        <f t="shared" si="19"/>
        <v>54028</v>
      </c>
      <c r="U60" s="177">
        <f t="shared" ref="U60" si="68">ROUND($M60*Q60,0)</f>
        <v>221731</v>
      </c>
      <c r="V60" s="177">
        <f t="shared" si="12"/>
        <v>56239</v>
      </c>
      <c r="W60" s="177">
        <f t="shared" si="13"/>
        <v>1103412</v>
      </c>
      <c r="X60" s="177">
        <f t="shared" si="14"/>
        <v>-9769</v>
      </c>
      <c r="Y60" s="178">
        <f t="shared" si="15"/>
        <v>-8.775751652247029E-3</v>
      </c>
      <c r="Z60" s="179">
        <f t="shared" si="2"/>
        <v>-38.299999999999955</v>
      </c>
      <c r="AA60" s="180">
        <f t="shared" si="16"/>
        <v>-6.3568464730290375E-2</v>
      </c>
    </row>
    <row r="61" spans="1:27" x14ac:dyDescent="0.55000000000000004">
      <c r="A61" s="229" t="s">
        <v>54</v>
      </c>
      <c r="B61" s="181">
        <f>INDEX(Data[FY2026 Budget Enrollment],MATCH(A61,Data[Label],0))+INDEX(Data[FY2026 ESA],MATCH(A61,Data[Label],0))</f>
        <v>859.8</v>
      </c>
      <c r="C61" s="91">
        <f>INDEX(Data[FY2026 TSS],MATCH(A61,Data[Label],0))</f>
        <v>969.99</v>
      </c>
      <c r="D61" s="91">
        <f>INDEX(Data[FY2026 PD],MATCH(A61,Data[Label],0))</f>
        <v>89.75</v>
      </c>
      <c r="E61" s="91">
        <f>INDEX(Data[FY2026 Early Intervention],MATCH(A61,Data[Label],0))</f>
        <v>79.23</v>
      </c>
      <c r="F61" s="91">
        <f>INDEX(Data[FY2026 TLC],MATCH(A61,Data[Label],0))</f>
        <v>385.29</v>
      </c>
      <c r="G61" s="182">
        <f t="shared" si="3"/>
        <v>833997</v>
      </c>
      <c r="H61" s="182">
        <f t="shared" si="4"/>
        <v>77167</v>
      </c>
      <c r="I61" s="182">
        <f t="shared" si="5"/>
        <v>68122</v>
      </c>
      <c r="J61" s="182">
        <f t="shared" si="6"/>
        <v>331272</v>
      </c>
      <c r="K61" s="182">
        <f>INDEX(Data[FY2026 TSS Budget Guarantee],MATCH(A61,Data[Label],0))+INDEX(Data[FY2026 PD Budget Guarantee],MATCH(A61,Data[Label],0))+INDEX(Data[FY2026 Early Intervention Budget Guarantee],MATCH(A61,Data[Label],0))+INDEX(Data[FY2026 TLC Budget Gurantee],MATCH(A61,Data[Label],0))</f>
        <v>0</v>
      </c>
      <c r="L61" s="182">
        <f t="shared" si="7"/>
        <v>1310558</v>
      </c>
      <c r="M61" s="181">
        <f>INDEX(Data[FY2027 Budget Enrollment],MATCH(A61,Data[Label],0))+INDEX(Data[FY2027 ESAs],MATCH(A61,Data[Label],0))</f>
        <v>851.3</v>
      </c>
      <c r="N61" s="91">
        <f t="shared" si="8"/>
        <v>983.68000000000006</v>
      </c>
      <c r="O61" s="91">
        <f t="shared" si="9"/>
        <v>91.3</v>
      </c>
      <c r="P61" s="91">
        <f t="shared" si="10"/>
        <v>80.92</v>
      </c>
      <c r="Q61" s="91">
        <f t="shared" si="11"/>
        <v>393</v>
      </c>
      <c r="R61" s="182">
        <f t="shared" si="17"/>
        <v>837407</v>
      </c>
      <c r="S61" s="182">
        <f t="shared" si="18"/>
        <v>77724</v>
      </c>
      <c r="T61" s="182">
        <f t="shared" si="19"/>
        <v>68887</v>
      </c>
      <c r="U61" s="182">
        <f t="shared" ref="U61" si="69">ROUND($M61*Q61,)</f>
        <v>334561</v>
      </c>
      <c r="V61" s="182">
        <f t="shared" si="12"/>
        <v>0</v>
      </c>
      <c r="W61" s="182">
        <f t="shared" si="13"/>
        <v>1318579</v>
      </c>
      <c r="X61" s="182">
        <f t="shared" si="14"/>
        <v>8021</v>
      </c>
      <c r="Y61" s="183">
        <f t="shared" si="15"/>
        <v>6.1202937985194092E-3</v>
      </c>
      <c r="Z61" s="184">
        <f t="shared" si="2"/>
        <v>-8.5</v>
      </c>
      <c r="AA61" s="185">
        <f t="shared" si="16"/>
        <v>-9.8860200046522444E-3</v>
      </c>
    </row>
    <row r="62" spans="1:27" x14ac:dyDescent="0.55000000000000004">
      <c r="A62" s="230" t="s">
        <v>55</v>
      </c>
      <c r="B62" s="176">
        <f>INDEX(Data[FY2026 Budget Enrollment],MATCH(A62,Data[Label],0))+INDEX(Data[FY2026 ESA],MATCH(A62,Data[Label],0))</f>
        <v>851.8</v>
      </c>
      <c r="C62" s="218">
        <f>INDEX(Data[FY2026 TSS],MATCH(A62,Data[Label],0))</f>
        <v>1170.73</v>
      </c>
      <c r="D62" s="218">
        <f>INDEX(Data[FY2026 PD],MATCH(A62,Data[Label],0))</f>
        <v>76.819999999999993</v>
      </c>
      <c r="E62" s="218">
        <f>INDEX(Data[FY2026 Early Intervention],MATCH(A62,Data[Label],0))</f>
        <v>72.930000000000007</v>
      </c>
      <c r="F62" s="218">
        <f>INDEX(Data[FY2026 TLC],MATCH(A62,Data[Label],0))</f>
        <v>385.29</v>
      </c>
      <c r="G62" s="177">
        <f t="shared" si="3"/>
        <v>997228</v>
      </c>
      <c r="H62" s="177">
        <f t="shared" si="4"/>
        <v>65435</v>
      </c>
      <c r="I62" s="177">
        <f t="shared" si="5"/>
        <v>62122</v>
      </c>
      <c r="J62" s="177">
        <f t="shared" si="6"/>
        <v>328190</v>
      </c>
      <c r="K62" s="177">
        <f>INDEX(Data[FY2026 TSS Budget Guarantee],MATCH(A62,Data[Label],0))+INDEX(Data[FY2026 PD Budget Guarantee],MATCH(A62,Data[Label],0))+INDEX(Data[FY2026 Early Intervention Budget Guarantee],MATCH(A62,Data[Label],0))+INDEX(Data[FY2026 TLC Budget Gurantee],MATCH(A62,Data[Label],0))</f>
        <v>0</v>
      </c>
      <c r="L62" s="177">
        <f t="shared" si="7"/>
        <v>1452975</v>
      </c>
      <c r="M62" s="176">
        <f>INDEX(Data[FY2027 Budget Enrollment],MATCH(A62,Data[Label],0))+INDEX(Data[FY2027 ESAs],MATCH(A62,Data[Label],0))</f>
        <v>851.7</v>
      </c>
      <c r="N62" s="218">
        <f t="shared" si="8"/>
        <v>1184.42</v>
      </c>
      <c r="O62" s="218">
        <f t="shared" si="9"/>
        <v>78.36999999999999</v>
      </c>
      <c r="P62" s="218">
        <f t="shared" si="10"/>
        <v>74.62</v>
      </c>
      <c r="Q62" s="218">
        <f t="shared" si="11"/>
        <v>393</v>
      </c>
      <c r="R62" s="177">
        <f t="shared" si="17"/>
        <v>1008771</v>
      </c>
      <c r="S62" s="177">
        <f t="shared" si="18"/>
        <v>66748</v>
      </c>
      <c r="T62" s="177">
        <f t="shared" si="19"/>
        <v>63554</v>
      </c>
      <c r="U62" s="177">
        <f t="shared" ref="U62" si="70">ROUND($M62*Q62,0)</f>
        <v>334718</v>
      </c>
      <c r="V62" s="177">
        <f t="shared" si="12"/>
        <v>0</v>
      </c>
      <c r="W62" s="177">
        <f t="shared" si="13"/>
        <v>1473791</v>
      </c>
      <c r="X62" s="177">
        <f t="shared" si="14"/>
        <v>20816</v>
      </c>
      <c r="Y62" s="178">
        <f t="shared" si="15"/>
        <v>1.4326468108535936E-2</v>
      </c>
      <c r="Z62" s="179">
        <f t="shared" si="2"/>
        <v>-9.9999999999909051E-2</v>
      </c>
      <c r="AA62" s="180">
        <f t="shared" si="16"/>
        <v>-1.1739845034034874E-4</v>
      </c>
    </row>
    <row r="63" spans="1:27" x14ac:dyDescent="0.55000000000000004">
      <c r="A63" s="229" t="s">
        <v>56</v>
      </c>
      <c r="B63" s="181">
        <f>INDEX(Data[FY2026 Budget Enrollment],MATCH(A63,Data[Label],0))+INDEX(Data[FY2026 ESA],MATCH(A63,Data[Label],0))</f>
        <v>802.6</v>
      </c>
      <c r="C63" s="91">
        <f>INDEX(Data[FY2026 TSS],MATCH(A63,Data[Label],0))</f>
        <v>1043.68</v>
      </c>
      <c r="D63" s="91">
        <f>INDEX(Data[FY2026 PD],MATCH(A63,Data[Label],0))</f>
        <v>80.38</v>
      </c>
      <c r="E63" s="91">
        <f>INDEX(Data[FY2026 Early Intervention],MATCH(A63,Data[Label],0))</f>
        <v>75.569999999999993</v>
      </c>
      <c r="F63" s="91">
        <f>INDEX(Data[FY2026 TLC],MATCH(A63,Data[Label],0))</f>
        <v>385.29</v>
      </c>
      <c r="G63" s="182">
        <f t="shared" si="3"/>
        <v>837658</v>
      </c>
      <c r="H63" s="182">
        <f t="shared" si="4"/>
        <v>64513</v>
      </c>
      <c r="I63" s="182">
        <f t="shared" si="5"/>
        <v>60652</v>
      </c>
      <c r="J63" s="182">
        <f t="shared" si="6"/>
        <v>309234</v>
      </c>
      <c r="K63" s="182">
        <f>INDEX(Data[FY2026 TSS Budget Guarantee],MATCH(A63,Data[Label],0))+INDEX(Data[FY2026 PD Budget Guarantee],MATCH(A63,Data[Label],0))+INDEX(Data[FY2026 Early Intervention Budget Guarantee],MATCH(A63,Data[Label],0))+INDEX(Data[FY2026 TLC Budget Gurantee],MATCH(A63,Data[Label],0))</f>
        <v>0</v>
      </c>
      <c r="L63" s="182">
        <f t="shared" si="7"/>
        <v>1272057</v>
      </c>
      <c r="M63" s="181">
        <f>INDEX(Data[FY2027 Budget Enrollment],MATCH(A63,Data[Label],0))+INDEX(Data[FY2027 ESAs],MATCH(A63,Data[Label],0))</f>
        <v>774.1</v>
      </c>
      <c r="N63" s="91">
        <f t="shared" si="8"/>
        <v>1057.3700000000001</v>
      </c>
      <c r="O63" s="91">
        <f t="shared" si="9"/>
        <v>81.929999999999993</v>
      </c>
      <c r="P63" s="91">
        <f t="shared" si="10"/>
        <v>77.259999999999991</v>
      </c>
      <c r="Q63" s="91">
        <f t="shared" si="11"/>
        <v>393</v>
      </c>
      <c r="R63" s="182">
        <f t="shared" si="17"/>
        <v>818510</v>
      </c>
      <c r="S63" s="182">
        <f t="shared" si="18"/>
        <v>63422</v>
      </c>
      <c r="T63" s="182">
        <f t="shared" si="19"/>
        <v>59807</v>
      </c>
      <c r="U63" s="182">
        <f t="shared" ref="U63" si="71">ROUND($M63*Q63,)</f>
        <v>304221</v>
      </c>
      <c r="V63" s="182">
        <f t="shared" si="12"/>
        <v>26097</v>
      </c>
      <c r="W63" s="182">
        <f t="shared" si="13"/>
        <v>1272057</v>
      </c>
      <c r="X63" s="182">
        <f t="shared" si="14"/>
        <v>0</v>
      </c>
      <c r="Y63" s="183">
        <f t="shared" si="15"/>
        <v>0</v>
      </c>
      <c r="Z63" s="184">
        <f t="shared" si="2"/>
        <v>-28.5</v>
      </c>
      <c r="AA63" s="185">
        <f t="shared" si="16"/>
        <v>-3.5509593820084721E-2</v>
      </c>
    </row>
    <row r="64" spans="1:27" x14ac:dyDescent="0.55000000000000004">
      <c r="A64" s="230" t="s">
        <v>57</v>
      </c>
      <c r="B64" s="176">
        <f>INDEX(Data[FY2026 Budget Enrollment],MATCH(A64,Data[Label],0))+INDEX(Data[FY2026 ESA],MATCH(A64,Data[Label],0))</f>
        <v>1330.6</v>
      </c>
      <c r="C64" s="218">
        <f>INDEX(Data[FY2026 TSS],MATCH(A64,Data[Label],0))</f>
        <v>871.5</v>
      </c>
      <c r="D64" s="218">
        <f>INDEX(Data[FY2026 PD],MATCH(A64,Data[Label],0))</f>
        <v>72.819999999999993</v>
      </c>
      <c r="E64" s="218">
        <f>INDEX(Data[FY2026 Early Intervention],MATCH(A64,Data[Label],0))</f>
        <v>91.59</v>
      </c>
      <c r="F64" s="218">
        <f>INDEX(Data[FY2026 TLC],MATCH(A64,Data[Label],0))</f>
        <v>385.29</v>
      </c>
      <c r="G64" s="177">
        <f t="shared" si="3"/>
        <v>1159618</v>
      </c>
      <c r="H64" s="177">
        <f t="shared" si="4"/>
        <v>96894</v>
      </c>
      <c r="I64" s="177">
        <f t="shared" si="5"/>
        <v>121870</v>
      </c>
      <c r="J64" s="177">
        <f t="shared" si="6"/>
        <v>512667</v>
      </c>
      <c r="K64" s="177">
        <f>INDEX(Data[FY2026 TSS Budget Guarantee],MATCH(A64,Data[Label],0))+INDEX(Data[FY2026 PD Budget Guarantee],MATCH(A64,Data[Label],0))+INDEX(Data[FY2026 Early Intervention Budget Guarantee],MATCH(A64,Data[Label],0))+INDEX(Data[FY2026 TLC Budget Gurantee],MATCH(A64,Data[Label],0))</f>
        <v>0</v>
      </c>
      <c r="L64" s="177">
        <f t="shared" si="7"/>
        <v>1891049</v>
      </c>
      <c r="M64" s="176">
        <f>INDEX(Data[FY2027 Budget Enrollment],MATCH(A64,Data[Label],0))+INDEX(Data[FY2027 ESAs],MATCH(A64,Data[Label],0))</f>
        <v>1303.0999999999999</v>
      </c>
      <c r="N64" s="218">
        <f t="shared" si="8"/>
        <v>885.19</v>
      </c>
      <c r="O64" s="218">
        <f t="shared" si="9"/>
        <v>74.36999999999999</v>
      </c>
      <c r="P64" s="218">
        <f t="shared" si="10"/>
        <v>93.28</v>
      </c>
      <c r="Q64" s="218">
        <f t="shared" si="11"/>
        <v>393</v>
      </c>
      <c r="R64" s="177">
        <f t="shared" si="17"/>
        <v>1153491</v>
      </c>
      <c r="S64" s="177">
        <f t="shared" si="18"/>
        <v>96912</v>
      </c>
      <c r="T64" s="177">
        <f t="shared" si="19"/>
        <v>121553</v>
      </c>
      <c r="U64" s="177">
        <f t="shared" ref="U64" si="72">ROUND($M64*Q64,0)</f>
        <v>512118</v>
      </c>
      <c r="V64" s="177">
        <f t="shared" si="12"/>
        <v>6993</v>
      </c>
      <c r="W64" s="177">
        <f t="shared" si="13"/>
        <v>1891067</v>
      </c>
      <c r="X64" s="177">
        <f t="shared" si="14"/>
        <v>18</v>
      </c>
      <c r="Y64" s="178">
        <f t="shared" si="15"/>
        <v>9.5185264897948179E-6</v>
      </c>
      <c r="Z64" s="179">
        <f t="shared" si="2"/>
        <v>-27.5</v>
      </c>
      <c r="AA64" s="180">
        <f t="shared" si="16"/>
        <v>-2.0667368104614461E-2</v>
      </c>
    </row>
    <row r="65" spans="1:27" x14ac:dyDescent="0.55000000000000004">
      <c r="A65" s="229" t="s">
        <v>58</v>
      </c>
      <c r="B65" s="181">
        <f>INDEX(Data[FY2026 Budget Enrollment],MATCH(A65,Data[Label],0))+INDEX(Data[FY2026 ESA],MATCH(A65,Data[Label],0))</f>
        <v>1602.8</v>
      </c>
      <c r="C65" s="91">
        <f>INDEX(Data[FY2026 TSS],MATCH(A65,Data[Label],0))</f>
        <v>813.33</v>
      </c>
      <c r="D65" s="91">
        <f>INDEX(Data[FY2026 PD],MATCH(A65,Data[Label],0))</f>
        <v>80.17</v>
      </c>
      <c r="E65" s="91">
        <f>INDEX(Data[FY2026 Early Intervention],MATCH(A65,Data[Label],0))</f>
        <v>80.31</v>
      </c>
      <c r="F65" s="91">
        <f>INDEX(Data[FY2026 TLC],MATCH(A65,Data[Label],0))</f>
        <v>385.29</v>
      </c>
      <c r="G65" s="182">
        <f t="shared" si="3"/>
        <v>1303605</v>
      </c>
      <c r="H65" s="182">
        <f t="shared" si="4"/>
        <v>128496</v>
      </c>
      <c r="I65" s="182">
        <f t="shared" si="5"/>
        <v>128721</v>
      </c>
      <c r="J65" s="182">
        <f t="shared" si="6"/>
        <v>617543</v>
      </c>
      <c r="K65" s="182">
        <f>INDEX(Data[FY2026 TSS Budget Guarantee],MATCH(A65,Data[Label],0))+INDEX(Data[FY2026 PD Budget Guarantee],MATCH(A65,Data[Label],0))+INDEX(Data[FY2026 Early Intervention Budget Guarantee],MATCH(A65,Data[Label],0))+INDEX(Data[FY2026 TLC Budget Gurantee],MATCH(A65,Data[Label],0))</f>
        <v>0</v>
      </c>
      <c r="L65" s="182">
        <f t="shared" si="7"/>
        <v>2178365</v>
      </c>
      <c r="M65" s="181">
        <f>INDEX(Data[FY2027 Budget Enrollment],MATCH(A65,Data[Label],0))+INDEX(Data[FY2027 ESAs],MATCH(A65,Data[Label],0))</f>
        <v>1539.2</v>
      </c>
      <c r="N65" s="91">
        <f t="shared" si="8"/>
        <v>827.0200000000001</v>
      </c>
      <c r="O65" s="91">
        <f t="shared" si="9"/>
        <v>81.72</v>
      </c>
      <c r="P65" s="91">
        <f t="shared" si="10"/>
        <v>82</v>
      </c>
      <c r="Q65" s="91">
        <f t="shared" si="11"/>
        <v>393</v>
      </c>
      <c r="R65" s="182">
        <f t="shared" si="17"/>
        <v>1272949</v>
      </c>
      <c r="S65" s="182">
        <f t="shared" si="18"/>
        <v>125783</v>
      </c>
      <c r="T65" s="182">
        <f t="shared" si="19"/>
        <v>126214</v>
      </c>
      <c r="U65" s="182">
        <f t="shared" ref="U65" si="73">ROUND($M65*Q65,)</f>
        <v>604906</v>
      </c>
      <c r="V65" s="182">
        <f t="shared" si="12"/>
        <v>48513</v>
      </c>
      <c r="W65" s="182">
        <f t="shared" si="13"/>
        <v>2178365</v>
      </c>
      <c r="X65" s="182">
        <f t="shared" si="14"/>
        <v>0</v>
      </c>
      <c r="Y65" s="183">
        <f t="shared" si="15"/>
        <v>0</v>
      </c>
      <c r="Z65" s="184">
        <f t="shared" si="2"/>
        <v>-63.599999999999909</v>
      </c>
      <c r="AA65" s="185">
        <f t="shared" si="16"/>
        <v>-3.9680559021711949E-2</v>
      </c>
    </row>
    <row r="66" spans="1:27" x14ac:dyDescent="0.55000000000000004">
      <c r="A66" s="230" t="s">
        <v>59</v>
      </c>
      <c r="B66" s="176">
        <f>INDEX(Data[FY2026 Budget Enrollment],MATCH(A66,Data[Label],0))+INDEX(Data[FY2026 ESA],MATCH(A66,Data[Label],0))</f>
        <v>290.39999999999998</v>
      </c>
      <c r="C66" s="218">
        <f>INDEX(Data[FY2026 TSS],MATCH(A66,Data[Label],0))</f>
        <v>1241.8499999999999</v>
      </c>
      <c r="D66" s="218">
        <f>INDEX(Data[FY2026 PD],MATCH(A66,Data[Label],0))</f>
        <v>79.61</v>
      </c>
      <c r="E66" s="218">
        <f>INDEX(Data[FY2026 Early Intervention],MATCH(A66,Data[Label],0))</f>
        <v>87.16</v>
      </c>
      <c r="F66" s="218">
        <f>INDEX(Data[FY2026 TLC],MATCH(A66,Data[Label],0))</f>
        <v>385.29</v>
      </c>
      <c r="G66" s="177">
        <f t="shared" si="3"/>
        <v>360633</v>
      </c>
      <c r="H66" s="177">
        <f t="shared" si="4"/>
        <v>23119</v>
      </c>
      <c r="I66" s="177">
        <f t="shared" si="5"/>
        <v>25311</v>
      </c>
      <c r="J66" s="177">
        <f t="shared" si="6"/>
        <v>111888</v>
      </c>
      <c r="K66" s="177">
        <f>INDEX(Data[FY2026 TSS Budget Guarantee],MATCH(A66,Data[Label],0))+INDEX(Data[FY2026 PD Budget Guarantee],MATCH(A66,Data[Label],0))+INDEX(Data[FY2026 Early Intervention Budget Guarantee],MATCH(A66,Data[Label],0))+INDEX(Data[FY2026 TLC Budget Gurantee],MATCH(A66,Data[Label],0))</f>
        <v>0</v>
      </c>
      <c r="L66" s="177">
        <f t="shared" si="7"/>
        <v>520951</v>
      </c>
      <c r="M66" s="176">
        <f>INDEX(Data[FY2027 Budget Enrollment],MATCH(A66,Data[Label],0))+INDEX(Data[FY2027 ESAs],MATCH(A66,Data[Label],0))</f>
        <v>270.5</v>
      </c>
      <c r="N66" s="218">
        <f t="shared" si="8"/>
        <v>1255.54</v>
      </c>
      <c r="O66" s="218">
        <f t="shared" si="9"/>
        <v>81.16</v>
      </c>
      <c r="P66" s="218">
        <f t="shared" si="10"/>
        <v>88.85</v>
      </c>
      <c r="Q66" s="218">
        <f t="shared" si="11"/>
        <v>393</v>
      </c>
      <c r="R66" s="177">
        <f t="shared" si="17"/>
        <v>339624</v>
      </c>
      <c r="S66" s="177">
        <f t="shared" si="18"/>
        <v>21954</v>
      </c>
      <c r="T66" s="177">
        <f t="shared" si="19"/>
        <v>24034</v>
      </c>
      <c r="U66" s="177">
        <f t="shared" ref="U66" si="74">ROUND($M66*Q66,0)</f>
        <v>106307</v>
      </c>
      <c r="V66" s="177">
        <f t="shared" si="12"/>
        <v>29032</v>
      </c>
      <c r="W66" s="177">
        <f t="shared" si="13"/>
        <v>520951</v>
      </c>
      <c r="X66" s="177">
        <f t="shared" si="14"/>
        <v>0</v>
      </c>
      <c r="Y66" s="178">
        <f t="shared" si="15"/>
        <v>0</v>
      </c>
      <c r="Z66" s="179">
        <f t="shared" si="2"/>
        <v>-19.899999999999977</v>
      </c>
      <c r="AA66" s="180">
        <f t="shared" si="16"/>
        <v>-6.8526170798898001E-2</v>
      </c>
    </row>
    <row r="67" spans="1:27" x14ac:dyDescent="0.55000000000000004">
      <c r="A67" s="229" t="s">
        <v>60</v>
      </c>
      <c r="B67" s="181">
        <f>INDEX(Data[FY2026 Budget Enrollment],MATCH(A67,Data[Label],0))+INDEX(Data[FY2026 ESA],MATCH(A67,Data[Label],0))</f>
        <v>1007</v>
      </c>
      <c r="C67" s="91">
        <f>INDEX(Data[FY2026 TSS],MATCH(A67,Data[Label],0))</f>
        <v>896.16</v>
      </c>
      <c r="D67" s="91">
        <f>INDEX(Data[FY2026 PD],MATCH(A67,Data[Label],0))</f>
        <v>78.53</v>
      </c>
      <c r="E67" s="91">
        <f>INDEX(Data[FY2026 Early Intervention],MATCH(A67,Data[Label],0))</f>
        <v>84.19</v>
      </c>
      <c r="F67" s="91">
        <f>INDEX(Data[FY2026 TLC],MATCH(A67,Data[Label],0))</f>
        <v>385.29</v>
      </c>
      <c r="G67" s="182">
        <f t="shared" si="3"/>
        <v>902433</v>
      </c>
      <c r="H67" s="182">
        <f t="shared" si="4"/>
        <v>79080</v>
      </c>
      <c r="I67" s="182">
        <f t="shared" si="5"/>
        <v>84779</v>
      </c>
      <c r="J67" s="182">
        <f t="shared" si="6"/>
        <v>387987</v>
      </c>
      <c r="K67" s="182">
        <f>INDEX(Data[FY2026 TSS Budget Guarantee],MATCH(A67,Data[Label],0))+INDEX(Data[FY2026 PD Budget Guarantee],MATCH(A67,Data[Label],0))+INDEX(Data[FY2026 Early Intervention Budget Guarantee],MATCH(A67,Data[Label],0))+INDEX(Data[FY2026 TLC Budget Gurantee],MATCH(A67,Data[Label],0))</f>
        <v>7624</v>
      </c>
      <c r="L67" s="182">
        <f t="shared" si="7"/>
        <v>1461903</v>
      </c>
      <c r="M67" s="181">
        <f>INDEX(Data[FY2027 Budget Enrollment],MATCH(A67,Data[Label],0))+INDEX(Data[FY2027 ESAs],MATCH(A67,Data[Label],0))</f>
        <v>1032.8</v>
      </c>
      <c r="N67" s="91">
        <f t="shared" si="8"/>
        <v>909.85</v>
      </c>
      <c r="O67" s="91">
        <f t="shared" si="9"/>
        <v>80.08</v>
      </c>
      <c r="P67" s="91">
        <f t="shared" si="10"/>
        <v>85.88</v>
      </c>
      <c r="Q67" s="91">
        <f t="shared" si="11"/>
        <v>393</v>
      </c>
      <c r="R67" s="182">
        <f t="shared" si="17"/>
        <v>939693</v>
      </c>
      <c r="S67" s="182">
        <f t="shared" si="18"/>
        <v>82707</v>
      </c>
      <c r="T67" s="182">
        <f t="shared" si="19"/>
        <v>88697</v>
      </c>
      <c r="U67" s="182">
        <f t="shared" ref="U67" si="75">ROUND($M67*Q67,)</f>
        <v>405890</v>
      </c>
      <c r="V67" s="182">
        <f t="shared" si="12"/>
        <v>0</v>
      </c>
      <c r="W67" s="182">
        <f t="shared" si="13"/>
        <v>1516987</v>
      </c>
      <c r="X67" s="182">
        <f t="shared" si="14"/>
        <v>55084</v>
      </c>
      <c r="Y67" s="183">
        <f t="shared" si="15"/>
        <v>3.7679654532482662E-2</v>
      </c>
      <c r="Z67" s="184">
        <f t="shared" si="2"/>
        <v>25.799999999999955</v>
      </c>
      <c r="AA67" s="185">
        <f t="shared" si="16"/>
        <v>2.562065541211515E-2</v>
      </c>
    </row>
    <row r="68" spans="1:27" x14ac:dyDescent="0.55000000000000004">
      <c r="A68" s="230" t="s">
        <v>61</v>
      </c>
      <c r="B68" s="176">
        <f>INDEX(Data[FY2026 Budget Enrollment],MATCH(A68,Data[Label],0))+INDEX(Data[FY2026 ESA],MATCH(A68,Data[Label],0))</f>
        <v>1018.3</v>
      </c>
      <c r="C68" s="218">
        <f>INDEX(Data[FY2026 TSS],MATCH(A68,Data[Label],0))</f>
        <v>859.94</v>
      </c>
      <c r="D68" s="218">
        <f>INDEX(Data[FY2026 PD],MATCH(A68,Data[Label],0))</f>
        <v>64.69</v>
      </c>
      <c r="E68" s="218">
        <f>INDEX(Data[FY2026 Early Intervention],MATCH(A68,Data[Label],0))</f>
        <v>74.67</v>
      </c>
      <c r="F68" s="218">
        <f>INDEX(Data[FY2026 TLC],MATCH(A68,Data[Label],0))</f>
        <v>385.29</v>
      </c>
      <c r="G68" s="177">
        <f t="shared" si="3"/>
        <v>875677</v>
      </c>
      <c r="H68" s="177">
        <f t="shared" si="4"/>
        <v>65874</v>
      </c>
      <c r="I68" s="177">
        <f t="shared" si="5"/>
        <v>76036</v>
      </c>
      <c r="J68" s="177">
        <f t="shared" si="6"/>
        <v>392341</v>
      </c>
      <c r="K68" s="177">
        <f>INDEX(Data[FY2026 TSS Budget Guarantee],MATCH(A68,Data[Label],0))+INDEX(Data[FY2026 PD Budget Guarantee],MATCH(A68,Data[Label],0))+INDEX(Data[FY2026 Early Intervention Budget Guarantee],MATCH(A68,Data[Label],0))+INDEX(Data[FY2026 TLC Budget Gurantee],MATCH(A68,Data[Label],0))</f>
        <v>0</v>
      </c>
      <c r="L68" s="177">
        <f t="shared" si="7"/>
        <v>1409928</v>
      </c>
      <c r="M68" s="176">
        <f>INDEX(Data[FY2027 Budget Enrollment],MATCH(A68,Data[Label],0))+INDEX(Data[FY2027 ESAs],MATCH(A68,Data[Label],0))</f>
        <v>980.6</v>
      </c>
      <c r="N68" s="218">
        <f t="shared" si="8"/>
        <v>873.63000000000011</v>
      </c>
      <c r="O68" s="218">
        <f t="shared" si="9"/>
        <v>66.239999999999995</v>
      </c>
      <c r="P68" s="218">
        <f t="shared" si="10"/>
        <v>76.36</v>
      </c>
      <c r="Q68" s="218">
        <f t="shared" si="11"/>
        <v>393</v>
      </c>
      <c r="R68" s="177">
        <f t="shared" si="17"/>
        <v>856682</v>
      </c>
      <c r="S68" s="177">
        <f t="shared" si="18"/>
        <v>64955</v>
      </c>
      <c r="T68" s="177">
        <f t="shared" si="19"/>
        <v>74879</v>
      </c>
      <c r="U68" s="177">
        <f t="shared" ref="U68" si="76">ROUND($M68*Q68,0)</f>
        <v>385376</v>
      </c>
      <c r="V68" s="177">
        <f t="shared" si="12"/>
        <v>28036</v>
      </c>
      <c r="W68" s="177">
        <f t="shared" si="13"/>
        <v>1409928</v>
      </c>
      <c r="X68" s="177">
        <f t="shared" si="14"/>
        <v>0</v>
      </c>
      <c r="Y68" s="178">
        <f t="shared" si="15"/>
        <v>0</v>
      </c>
      <c r="Z68" s="179">
        <f t="shared" si="2"/>
        <v>-37.699999999999932</v>
      </c>
      <c r="AA68" s="180">
        <f t="shared" si="16"/>
        <v>-3.7022488461160692E-2</v>
      </c>
    </row>
    <row r="69" spans="1:27" x14ac:dyDescent="0.55000000000000004">
      <c r="A69" s="229" t="s">
        <v>62</v>
      </c>
      <c r="B69" s="181">
        <f>INDEX(Data[FY2026 Budget Enrollment],MATCH(A69,Data[Label],0))+INDEX(Data[FY2026 ESA],MATCH(A69,Data[Label],0))</f>
        <v>974</v>
      </c>
      <c r="C69" s="91">
        <f>INDEX(Data[FY2026 TSS],MATCH(A69,Data[Label],0))</f>
        <v>838.97</v>
      </c>
      <c r="D69" s="91">
        <f>INDEX(Data[FY2026 PD],MATCH(A69,Data[Label],0))</f>
        <v>78.33</v>
      </c>
      <c r="E69" s="91">
        <f>INDEX(Data[FY2026 Early Intervention],MATCH(A69,Data[Label],0))</f>
        <v>85.41</v>
      </c>
      <c r="F69" s="91">
        <f>INDEX(Data[FY2026 TLC],MATCH(A69,Data[Label],0))</f>
        <v>385.29</v>
      </c>
      <c r="G69" s="182">
        <f t="shared" si="3"/>
        <v>817157</v>
      </c>
      <c r="H69" s="182">
        <f t="shared" si="4"/>
        <v>76293</v>
      </c>
      <c r="I69" s="182">
        <f t="shared" si="5"/>
        <v>83189</v>
      </c>
      <c r="J69" s="182">
        <f t="shared" si="6"/>
        <v>375272</v>
      </c>
      <c r="K69" s="182">
        <f>INDEX(Data[FY2026 TSS Budget Guarantee],MATCH(A69,Data[Label],0))+INDEX(Data[FY2026 PD Budget Guarantee],MATCH(A69,Data[Label],0))+INDEX(Data[FY2026 Early Intervention Budget Guarantee],MATCH(A69,Data[Label],0))+INDEX(Data[FY2026 TLC Budget Gurantee],MATCH(A69,Data[Label],0))</f>
        <v>0</v>
      </c>
      <c r="L69" s="182">
        <f t="shared" si="7"/>
        <v>1351911</v>
      </c>
      <c r="M69" s="181">
        <f>INDEX(Data[FY2027 Budget Enrollment],MATCH(A69,Data[Label],0))+INDEX(Data[FY2027 ESAs],MATCH(A69,Data[Label],0))</f>
        <v>985.4</v>
      </c>
      <c r="N69" s="91">
        <f t="shared" si="8"/>
        <v>852.66000000000008</v>
      </c>
      <c r="O69" s="91">
        <f t="shared" si="9"/>
        <v>79.88</v>
      </c>
      <c r="P69" s="91">
        <f t="shared" si="10"/>
        <v>87.1</v>
      </c>
      <c r="Q69" s="91">
        <f t="shared" si="11"/>
        <v>393</v>
      </c>
      <c r="R69" s="182">
        <f t="shared" si="17"/>
        <v>840211</v>
      </c>
      <c r="S69" s="182">
        <f t="shared" si="18"/>
        <v>78714</v>
      </c>
      <c r="T69" s="182">
        <f t="shared" si="19"/>
        <v>85828</v>
      </c>
      <c r="U69" s="182">
        <f t="shared" ref="U69" si="77">ROUND($M69*Q69,)</f>
        <v>387262</v>
      </c>
      <c r="V69" s="182">
        <f t="shared" si="12"/>
        <v>0</v>
      </c>
      <c r="W69" s="182">
        <f t="shared" si="13"/>
        <v>1392015</v>
      </c>
      <c r="X69" s="182">
        <f t="shared" si="14"/>
        <v>40104</v>
      </c>
      <c r="Y69" s="183">
        <f t="shared" si="15"/>
        <v>2.9664674671631492E-2</v>
      </c>
      <c r="Z69" s="184">
        <f t="shared" si="2"/>
        <v>11.399999999999977</v>
      </c>
      <c r="AA69" s="185">
        <f t="shared" si="16"/>
        <v>1.170431211498971E-2</v>
      </c>
    </row>
    <row r="70" spans="1:27" x14ac:dyDescent="0.55000000000000004">
      <c r="A70" s="230" t="s">
        <v>63</v>
      </c>
      <c r="B70" s="176">
        <f>INDEX(Data[FY2026 Budget Enrollment],MATCH(A70,Data[Label],0))+INDEX(Data[FY2026 ESA],MATCH(A70,Data[Label],0))</f>
        <v>1483.4</v>
      </c>
      <c r="C70" s="218">
        <f>INDEX(Data[FY2026 TSS],MATCH(A70,Data[Label],0))</f>
        <v>893.4</v>
      </c>
      <c r="D70" s="218">
        <f>INDEX(Data[FY2026 PD],MATCH(A70,Data[Label],0))</f>
        <v>71.72</v>
      </c>
      <c r="E70" s="218">
        <f>INDEX(Data[FY2026 Early Intervention],MATCH(A70,Data[Label],0))</f>
        <v>88.96</v>
      </c>
      <c r="F70" s="218">
        <f>INDEX(Data[FY2026 TLC],MATCH(A70,Data[Label],0))</f>
        <v>385.29</v>
      </c>
      <c r="G70" s="177">
        <f t="shared" si="3"/>
        <v>1325270</v>
      </c>
      <c r="H70" s="177">
        <f t="shared" si="4"/>
        <v>106389</v>
      </c>
      <c r="I70" s="177">
        <f t="shared" si="5"/>
        <v>131963</v>
      </c>
      <c r="J70" s="177">
        <f t="shared" si="6"/>
        <v>571539</v>
      </c>
      <c r="K70" s="177">
        <f>INDEX(Data[FY2026 TSS Budget Guarantee],MATCH(A70,Data[Label],0))+INDEX(Data[FY2026 PD Budget Guarantee],MATCH(A70,Data[Label],0))+INDEX(Data[FY2026 Early Intervention Budget Guarantee],MATCH(A70,Data[Label],0))+INDEX(Data[FY2026 TLC Budget Gurantee],MATCH(A70,Data[Label],0))</f>
        <v>0</v>
      </c>
      <c r="L70" s="177">
        <f t="shared" si="7"/>
        <v>2135161</v>
      </c>
      <c r="M70" s="176">
        <f>INDEX(Data[FY2027 Budget Enrollment],MATCH(A70,Data[Label],0))+INDEX(Data[FY2027 ESAs],MATCH(A70,Data[Label],0))</f>
        <v>1467.2</v>
      </c>
      <c r="N70" s="218">
        <f t="shared" si="8"/>
        <v>907.09</v>
      </c>
      <c r="O70" s="218">
        <f t="shared" si="9"/>
        <v>73.27</v>
      </c>
      <c r="P70" s="218">
        <f t="shared" si="10"/>
        <v>90.649999999999991</v>
      </c>
      <c r="Q70" s="218">
        <f t="shared" si="11"/>
        <v>393</v>
      </c>
      <c r="R70" s="177">
        <f t="shared" si="17"/>
        <v>1330882</v>
      </c>
      <c r="S70" s="177">
        <f t="shared" si="18"/>
        <v>107502</v>
      </c>
      <c r="T70" s="177">
        <f t="shared" si="19"/>
        <v>133002</v>
      </c>
      <c r="U70" s="177">
        <f t="shared" ref="U70" si="78">ROUND($M70*Q70,0)</f>
        <v>576610</v>
      </c>
      <c r="V70" s="177">
        <f t="shared" si="12"/>
        <v>0</v>
      </c>
      <c r="W70" s="177">
        <f t="shared" si="13"/>
        <v>2147996</v>
      </c>
      <c r="X70" s="177">
        <f t="shared" si="14"/>
        <v>12835</v>
      </c>
      <c r="Y70" s="178">
        <f t="shared" si="15"/>
        <v>6.0112562940218559E-3</v>
      </c>
      <c r="Z70" s="179">
        <f t="shared" si="2"/>
        <v>-16.200000000000045</v>
      </c>
      <c r="AA70" s="180">
        <f t="shared" si="16"/>
        <v>-1.0920857489551062E-2</v>
      </c>
    </row>
    <row r="71" spans="1:27" x14ac:dyDescent="0.55000000000000004">
      <c r="A71" s="229" t="s">
        <v>64</v>
      </c>
      <c r="B71" s="181">
        <f>INDEX(Data[FY2026 Budget Enrollment],MATCH(A71,Data[Label],0))+INDEX(Data[FY2026 ESA],MATCH(A71,Data[Label],0))</f>
        <v>276.60000000000002</v>
      </c>
      <c r="C71" s="91">
        <f>INDEX(Data[FY2026 TSS],MATCH(A71,Data[Label],0))</f>
        <v>1493.46</v>
      </c>
      <c r="D71" s="91">
        <f>INDEX(Data[FY2026 PD],MATCH(A71,Data[Label],0))</f>
        <v>83.39</v>
      </c>
      <c r="E71" s="91">
        <f>INDEX(Data[FY2026 Early Intervention],MATCH(A71,Data[Label],0))</f>
        <v>86.4</v>
      </c>
      <c r="F71" s="91">
        <f>INDEX(Data[FY2026 TLC],MATCH(A71,Data[Label],0))</f>
        <v>385.29</v>
      </c>
      <c r="G71" s="182">
        <f t="shared" si="3"/>
        <v>413091</v>
      </c>
      <c r="H71" s="182">
        <f t="shared" si="4"/>
        <v>23066</v>
      </c>
      <c r="I71" s="182">
        <f t="shared" si="5"/>
        <v>23898</v>
      </c>
      <c r="J71" s="182">
        <f t="shared" si="6"/>
        <v>106571</v>
      </c>
      <c r="K71" s="182">
        <f>INDEX(Data[FY2026 TSS Budget Guarantee],MATCH(A71,Data[Label],0))+INDEX(Data[FY2026 PD Budget Guarantee],MATCH(A71,Data[Label],0))+INDEX(Data[FY2026 Early Intervention Budget Guarantee],MATCH(A71,Data[Label],0))+INDEX(Data[FY2026 TLC Budget Gurantee],MATCH(A71,Data[Label],0))</f>
        <v>842</v>
      </c>
      <c r="L71" s="182">
        <f t="shared" si="7"/>
        <v>567468</v>
      </c>
      <c r="M71" s="181">
        <f>INDEX(Data[FY2027 Budget Enrollment],MATCH(A71,Data[Label],0))+INDEX(Data[FY2027 ESAs],MATCH(A71,Data[Label],0))</f>
        <v>267.89999999999998</v>
      </c>
      <c r="N71" s="91">
        <f t="shared" si="8"/>
        <v>1507.15</v>
      </c>
      <c r="O71" s="91">
        <f t="shared" si="9"/>
        <v>84.94</v>
      </c>
      <c r="P71" s="91">
        <f t="shared" si="10"/>
        <v>88.09</v>
      </c>
      <c r="Q71" s="91">
        <f t="shared" si="11"/>
        <v>393</v>
      </c>
      <c r="R71" s="182">
        <f t="shared" si="17"/>
        <v>403765</v>
      </c>
      <c r="S71" s="182">
        <f t="shared" si="18"/>
        <v>22755</v>
      </c>
      <c r="T71" s="182">
        <f t="shared" si="19"/>
        <v>23599</v>
      </c>
      <c r="U71" s="182">
        <f t="shared" ref="U71" si="79">ROUND($M71*Q71,)</f>
        <v>105285</v>
      </c>
      <c r="V71" s="182">
        <f t="shared" si="12"/>
        <v>11222</v>
      </c>
      <c r="W71" s="182">
        <f t="shared" si="13"/>
        <v>566626</v>
      </c>
      <c r="X71" s="182">
        <f t="shared" si="14"/>
        <v>-842</v>
      </c>
      <c r="Y71" s="183">
        <f t="shared" si="15"/>
        <v>-1.4837841076501229E-3</v>
      </c>
      <c r="Z71" s="184">
        <f t="shared" si="2"/>
        <v>-8.7000000000000455</v>
      </c>
      <c r="AA71" s="185">
        <f t="shared" si="16"/>
        <v>-3.1453362255965456E-2</v>
      </c>
    </row>
    <row r="72" spans="1:27" x14ac:dyDescent="0.55000000000000004">
      <c r="A72" s="230" t="s">
        <v>65</v>
      </c>
      <c r="B72" s="176">
        <f>INDEX(Data[FY2026 Budget Enrollment],MATCH(A72,Data[Label],0))+INDEX(Data[FY2026 ESA],MATCH(A72,Data[Label],0))</f>
        <v>294</v>
      </c>
      <c r="C72" s="218">
        <f>INDEX(Data[FY2026 TSS],MATCH(A72,Data[Label],0))</f>
        <v>1257.49</v>
      </c>
      <c r="D72" s="218">
        <f>INDEX(Data[FY2026 PD],MATCH(A72,Data[Label],0))</f>
        <v>81.87</v>
      </c>
      <c r="E72" s="218">
        <f>INDEX(Data[FY2026 Early Intervention],MATCH(A72,Data[Label],0))</f>
        <v>76.81</v>
      </c>
      <c r="F72" s="218">
        <f>INDEX(Data[FY2026 TLC],MATCH(A72,Data[Label],0))</f>
        <v>385.29</v>
      </c>
      <c r="G72" s="177">
        <f t="shared" si="3"/>
        <v>369702</v>
      </c>
      <c r="H72" s="177">
        <f t="shared" si="4"/>
        <v>24070</v>
      </c>
      <c r="I72" s="177">
        <f t="shared" si="5"/>
        <v>22582</v>
      </c>
      <c r="J72" s="177">
        <f t="shared" si="6"/>
        <v>113275</v>
      </c>
      <c r="K72" s="177">
        <f>INDEX(Data[FY2026 TSS Budget Guarantee],MATCH(A72,Data[Label],0))+INDEX(Data[FY2026 PD Budget Guarantee],MATCH(A72,Data[Label],0))+INDEX(Data[FY2026 Early Intervention Budget Guarantee],MATCH(A72,Data[Label],0))+INDEX(Data[FY2026 TLC Budget Gurantee],MATCH(A72,Data[Label],0))</f>
        <v>0</v>
      </c>
      <c r="L72" s="177">
        <f t="shared" si="7"/>
        <v>529629</v>
      </c>
      <c r="M72" s="176">
        <f>INDEX(Data[FY2027 Budget Enrollment],MATCH(A72,Data[Label],0))+INDEX(Data[FY2027 ESAs],MATCH(A72,Data[Label],0))</f>
        <v>342.1</v>
      </c>
      <c r="N72" s="218">
        <f t="shared" si="8"/>
        <v>1271.18</v>
      </c>
      <c r="O72" s="218">
        <f t="shared" si="9"/>
        <v>83.42</v>
      </c>
      <c r="P72" s="218">
        <f t="shared" si="10"/>
        <v>78.5</v>
      </c>
      <c r="Q72" s="218">
        <f t="shared" si="11"/>
        <v>393</v>
      </c>
      <c r="R72" s="177">
        <f t="shared" si="17"/>
        <v>434871</v>
      </c>
      <c r="S72" s="177">
        <f t="shared" si="18"/>
        <v>28538</v>
      </c>
      <c r="T72" s="177">
        <f t="shared" si="19"/>
        <v>26855</v>
      </c>
      <c r="U72" s="177">
        <f t="shared" ref="U72" si="80">ROUND($M72*Q72,0)</f>
        <v>134445</v>
      </c>
      <c r="V72" s="177">
        <f t="shared" si="12"/>
        <v>0</v>
      </c>
      <c r="W72" s="177">
        <f t="shared" si="13"/>
        <v>624709</v>
      </c>
      <c r="X72" s="177">
        <f t="shared" si="14"/>
        <v>95080</v>
      </c>
      <c r="Y72" s="178">
        <f t="shared" si="15"/>
        <v>0.17952189173931185</v>
      </c>
      <c r="Z72" s="179">
        <f t="shared" si="2"/>
        <v>48.100000000000023</v>
      </c>
      <c r="AA72" s="180">
        <f t="shared" si="16"/>
        <v>0.16360544217687081</v>
      </c>
    </row>
    <row r="73" spans="1:27" x14ac:dyDescent="0.55000000000000004">
      <c r="A73" s="229" t="s">
        <v>66</v>
      </c>
      <c r="B73" s="181">
        <f>INDEX(Data[FY2026 Budget Enrollment],MATCH(A73,Data[Label],0))+INDEX(Data[FY2026 ESA],MATCH(A73,Data[Label],0))</f>
        <v>649</v>
      </c>
      <c r="C73" s="91">
        <f>INDEX(Data[FY2026 TSS],MATCH(A73,Data[Label],0))</f>
        <v>989.4</v>
      </c>
      <c r="D73" s="91">
        <f>INDEX(Data[FY2026 PD],MATCH(A73,Data[Label],0))</f>
        <v>77.959999999999994</v>
      </c>
      <c r="E73" s="91">
        <f>INDEX(Data[FY2026 Early Intervention],MATCH(A73,Data[Label],0))</f>
        <v>72.27</v>
      </c>
      <c r="F73" s="91">
        <f>INDEX(Data[FY2026 TLC],MATCH(A73,Data[Label],0))</f>
        <v>385.29</v>
      </c>
      <c r="G73" s="182">
        <f t="shared" si="3"/>
        <v>642121</v>
      </c>
      <c r="H73" s="182">
        <f t="shared" si="4"/>
        <v>50596</v>
      </c>
      <c r="I73" s="182">
        <f t="shared" si="5"/>
        <v>46903</v>
      </c>
      <c r="J73" s="182">
        <f t="shared" si="6"/>
        <v>250053</v>
      </c>
      <c r="K73" s="182">
        <f>INDEX(Data[FY2026 TSS Budget Guarantee],MATCH(A73,Data[Label],0))+INDEX(Data[FY2026 PD Budget Guarantee],MATCH(A73,Data[Label],0))+INDEX(Data[FY2026 Early Intervention Budget Guarantee],MATCH(A73,Data[Label],0))+INDEX(Data[FY2026 TLC Budget Gurantee],MATCH(A73,Data[Label],0))</f>
        <v>0</v>
      </c>
      <c r="L73" s="182">
        <f t="shared" si="7"/>
        <v>989673</v>
      </c>
      <c r="M73" s="181">
        <f>INDEX(Data[FY2027 Budget Enrollment],MATCH(A73,Data[Label],0))+INDEX(Data[FY2027 ESAs],MATCH(A73,Data[Label],0))</f>
        <v>635.1</v>
      </c>
      <c r="N73" s="91">
        <f t="shared" si="8"/>
        <v>1003.09</v>
      </c>
      <c r="O73" s="91">
        <f t="shared" si="9"/>
        <v>79.509999999999991</v>
      </c>
      <c r="P73" s="91">
        <f t="shared" si="10"/>
        <v>73.959999999999994</v>
      </c>
      <c r="Q73" s="91">
        <f t="shared" si="11"/>
        <v>393</v>
      </c>
      <c r="R73" s="182">
        <f t="shared" si="17"/>
        <v>637062</v>
      </c>
      <c r="S73" s="182">
        <f t="shared" si="18"/>
        <v>50497</v>
      </c>
      <c r="T73" s="182">
        <f t="shared" si="19"/>
        <v>46972</v>
      </c>
      <c r="U73" s="182">
        <f t="shared" ref="U73" si="81">ROUND($M73*Q73,)</f>
        <v>249594</v>
      </c>
      <c r="V73" s="182">
        <f t="shared" si="12"/>
        <v>5617</v>
      </c>
      <c r="W73" s="182">
        <f t="shared" si="13"/>
        <v>989742</v>
      </c>
      <c r="X73" s="182">
        <f t="shared" si="14"/>
        <v>69</v>
      </c>
      <c r="Y73" s="183">
        <f t="shared" si="15"/>
        <v>6.9719998423721779E-5</v>
      </c>
      <c r="Z73" s="184">
        <f t="shared" si="2"/>
        <v>-13.899999999999977</v>
      </c>
      <c r="AA73" s="185">
        <f t="shared" si="16"/>
        <v>-2.1417565485362059E-2</v>
      </c>
    </row>
    <row r="74" spans="1:27" x14ac:dyDescent="0.55000000000000004">
      <c r="A74" s="230" t="s">
        <v>67</v>
      </c>
      <c r="B74" s="176">
        <f>INDEX(Data[FY2026 Budget Enrollment],MATCH(A74,Data[Label],0))+INDEX(Data[FY2026 ESA],MATCH(A74,Data[Label],0))</f>
        <v>3171.5</v>
      </c>
      <c r="C74" s="218">
        <f>INDEX(Data[FY2026 TSS],MATCH(A74,Data[Label],0))</f>
        <v>845.11</v>
      </c>
      <c r="D74" s="218">
        <f>INDEX(Data[FY2026 PD],MATCH(A74,Data[Label],0))</f>
        <v>75.16</v>
      </c>
      <c r="E74" s="218">
        <f>INDEX(Data[FY2026 Early Intervention],MATCH(A74,Data[Label],0))</f>
        <v>70.209999999999994</v>
      </c>
      <c r="F74" s="218">
        <f>INDEX(Data[FY2026 TLC],MATCH(A74,Data[Label],0))</f>
        <v>385.29</v>
      </c>
      <c r="G74" s="177">
        <f t="shared" si="3"/>
        <v>2680266</v>
      </c>
      <c r="H74" s="177">
        <f t="shared" si="4"/>
        <v>238370</v>
      </c>
      <c r="I74" s="177">
        <f t="shared" si="5"/>
        <v>222671</v>
      </c>
      <c r="J74" s="177">
        <f t="shared" si="6"/>
        <v>1221947</v>
      </c>
      <c r="K74" s="177">
        <f>INDEX(Data[FY2026 TSS Budget Guarantee],MATCH(A74,Data[Label],0))+INDEX(Data[FY2026 PD Budget Guarantee],MATCH(A74,Data[Label],0))+INDEX(Data[FY2026 Early Intervention Budget Guarantee],MATCH(A74,Data[Label],0))+INDEX(Data[FY2026 TLC Budget Gurantee],MATCH(A74,Data[Label],0))</f>
        <v>0</v>
      </c>
      <c r="L74" s="177">
        <f t="shared" si="7"/>
        <v>4363254</v>
      </c>
      <c r="M74" s="176">
        <f>INDEX(Data[FY2027 Budget Enrollment],MATCH(A74,Data[Label],0))+INDEX(Data[FY2027 ESAs],MATCH(A74,Data[Label],0))</f>
        <v>3290.4</v>
      </c>
      <c r="N74" s="218">
        <f t="shared" si="8"/>
        <v>858.80000000000007</v>
      </c>
      <c r="O74" s="218">
        <f t="shared" si="9"/>
        <v>76.709999999999994</v>
      </c>
      <c r="P74" s="218">
        <f t="shared" si="10"/>
        <v>71.899999999999991</v>
      </c>
      <c r="Q74" s="218">
        <f t="shared" si="11"/>
        <v>393</v>
      </c>
      <c r="R74" s="177">
        <f t="shared" si="17"/>
        <v>2825796</v>
      </c>
      <c r="S74" s="177">
        <f t="shared" si="18"/>
        <v>252407</v>
      </c>
      <c r="T74" s="177">
        <f t="shared" si="19"/>
        <v>236580</v>
      </c>
      <c r="U74" s="177">
        <f t="shared" ref="U74" si="82">ROUND($M74*Q74,0)</f>
        <v>1293127</v>
      </c>
      <c r="V74" s="177">
        <f t="shared" si="12"/>
        <v>0</v>
      </c>
      <c r="W74" s="177">
        <f t="shared" si="13"/>
        <v>4607910</v>
      </c>
      <c r="X74" s="177">
        <f t="shared" si="14"/>
        <v>244656</v>
      </c>
      <c r="Y74" s="178">
        <f t="shared" si="15"/>
        <v>5.6071913301403035E-2</v>
      </c>
      <c r="Z74" s="179">
        <f t="shared" si="2"/>
        <v>118.90000000000009</v>
      </c>
      <c r="AA74" s="180">
        <f t="shared" si="16"/>
        <v>3.7490146618319439E-2</v>
      </c>
    </row>
    <row r="75" spans="1:27" x14ac:dyDescent="0.55000000000000004">
      <c r="A75" s="229" t="s">
        <v>68</v>
      </c>
      <c r="B75" s="181">
        <f>INDEX(Data[FY2026 Budget Enrollment],MATCH(A75,Data[Label],0))+INDEX(Data[FY2026 ESA],MATCH(A75,Data[Label],0))</f>
        <v>1166.4000000000001</v>
      </c>
      <c r="C75" s="91">
        <f>INDEX(Data[FY2026 TSS],MATCH(A75,Data[Label],0))</f>
        <v>879.86</v>
      </c>
      <c r="D75" s="91">
        <f>INDEX(Data[FY2026 PD],MATCH(A75,Data[Label],0))</f>
        <v>73.19</v>
      </c>
      <c r="E75" s="91">
        <f>INDEX(Data[FY2026 Early Intervention],MATCH(A75,Data[Label],0))</f>
        <v>76.91</v>
      </c>
      <c r="F75" s="91">
        <f>INDEX(Data[FY2026 TLC],MATCH(A75,Data[Label],0))</f>
        <v>385.29</v>
      </c>
      <c r="G75" s="182">
        <f t="shared" ref="G75:G138" si="83">ROUND($B75*C75,0)</f>
        <v>1026269</v>
      </c>
      <c r="H75" s="182">
        <f t="shared" ref="H75:H138" si="84">ROUND($B75*D75,0)</f>
        <v>85369</v>
      </c>
      <c r="I75" s="182">
        <f t="shared" ref="I75:I138" si="85">ROUND($B75*E75,0)</f>
        <v>89708</v>
      </c>
      <c r="J75" s="182">
        <f t="shared" ref="J75:J138" si="86">ROUND($B75*F75,0)</f>
        <v>449402</v>
      </c>
      <c r="K75" s="182">
        <f>INDEX(Data[FY2026 TSS Budget Guarantee],MATCH(A75,Data[Label],0))+INDEX(Data[FY2026 PD Budget Guarantee],MATCH(A75,Data[Label],0))+INDEX(Data[FY2026 Early Intervention Budget Guarantee],MATCH(A75,Data[Label],0))+INDEX(Data[FY2026 TLC Budget Gurantee],MATCH(A75,Data[Label],0))</f>
        <v>0</v>
      </c>
      <c r="L75" s="182">
        <f t="shared" ref="L75:L138" si="87">G75+H75+I75+J75+K75</f>
        <v>1650748</v>
      </c>
      <c r="M75" s="181">
        <f>INDEX(Data[FY2027 Budget Enrollment],MATCH(A75,Data[Label],0))+INDEX(Data[FY2027 ESAs],MATCH(A75,Data[Label],0))</f>
        <v>1124.9000000000001</v>
      </c>
      <c r="N75" s="91">
        <f t="shared" ref="N75:N138" si="88">C75+ROUND(684.47*$B$6,2)</f>
        <v>893.55000000000007</v>
      </c>
      <c r="O75" s="91">
        <f t="shared" ref="O75:O138" si="89">D75+ROUND(77.52*$B$6,2)</f>
        <v>74.739999999999995</v>
      </c>
      <c r="P75" s="91">
        <f t="shared" ref="P75:P138" si="90">E75+ROUND(84.44*$B$6,2)</f>
        <v>78.599999999999994</v>
      </c>
      <c r="Q75" s="91">
        <f t="shared" ref="Q75:Q138" si="91">F75+ROUND(F75*$B$6,2)</f>
        <v>393</v>
      </c>
      <c r="R75" s="182">
        <f t="shared" si="17"/>
        <v>1005154</v>
      </c>
      <c r="S75" s="182">
        <f t="shared" si="18"/>
        <v>84075</v>
      </c>
      <c r="T75" s="182">
        <f t="shared" si="19"/>
        <v>88417</v>
      </c>
      <c r="U75" s="182">
        <f t="shared" ref="U75" si="92">ROUND($M75*Q75,)</f>
        <v>442086</v>
      </c>
      <c r="V75" s="182">
        <f t="shared" ref="V75:V138" si="93">ROUND(MAX((G75-R75),0),0)+ROUND(MAX((H75-S75),0),0)+ROUND(MAX((I75-T75),0),0)+ROUND(MAX((J75-U75),0),0)</f>
        <v>31016</v>
      </c>
      <c r="W75" s="182">
        <f t="shared" ref="W75:W138" si="94">SUM(R75:U75)+V75</f>
        <v>1650748</v>
      </c>
      <c r="X75" s="182">
        <f t="shared" ref="X75:X138" si="95">W75-L75</f>
        <v>0</v>
      </c>
      <c r="Y75" s="183">
        <f t="shared" ref="Y75:Y138" si="96">X75/L75</f>
        <v>0</v>
      </c>
      <c r="Z75" s="184">
        <f t="shared" ref="Z75:Z138" si="97">M75-B75</f>
        <v>-41.5</v>
      </c>
      <c r="AA75" s="185">
        <f t="shared" ref="AA75:AA138" si="98">Z75/B75</f>
        <v>-3.5579561042524001E-2</v>
      </c>
    </row>
    <row r="76" spans="1:27" x14ac:dyDescent="0.55000000000000004">
      <c r="A76" s="230" t="s">
        <v>69</v>
      </c>
      <c r="B76" s="176">
        <f>INDEX(Data[FY2026 Budget Enrollment],MATCH(A76,Data[Label],0))+INDEX(Data[FY2026 ESA],MATCH(A76,Data[Label],0))</f>
        <v>3745.2</v>
      </c>
      <c r="C76" s="218">
        <f>INDEX(Data[FY2026 TSS],MATCH(A76,Data[Label],0))</f>
        <v>769.64</v>
      </c>
      <c r="D76" s="218">
        <f>INDEX(Data[FY2026 PD],MATCH(A76,Data[Label],0))</f>
        <v>78.83</v>
      </c>
      <c r="E76" s="218">
        <f>INDEX(Data[FY2026 Early Intervention],MATCH(A76,Data[Label],0))</f>
        <v>90.96</v>
      </c>
      <c r="F76" s="218">
        <f>INDEX(Data[FY2026 TLC],MATCH(A76,Data[Label],0))</f>
        <v>385.29</v>
      </c>
      <c r="G76" s="177">
        <f t="shared" si="83"/>
        <v>2882456</v>
      </c>
      <c r="H76" s="177">
        <f t="shared" si="84"/>
        <v>295234</v>
      </c>
      <c r="I76" s="177">
        <f t="shared" si="85"/>
        <v>340663</v>
      </c>
      <c r="J76" s="177">
        <f t="shared" si="86"/>
        <v>1442988</v>
      </c>
      <c r="K76" s="177">
        <f>INDEX(Data[FY2026 TSS Budget Guarantee],MATCH(A76,Data[Label],0))+INDEX(Data[FY2026 PD Budget Guarantee],MATCH(A76,Data[Label],0))+INDEX(Data[FY2026 Early Intervention Budget Guarantee],MATCH(A76,Data[Label],0))+INDEX(Data[FY2026 TLC Budget Gurantee],MATCH(A76,Data[Label],0))</f>
        <v>0</v>
      </c>
      <c r="L76" s="177">
        <f t="shared" si="87"/>
        <v>4961341</v>
      </c>
      <c r="M76" s="176">
        <f>INDEX(Data[FY2027 Budget Enrollment],MATCH(A76,Data[Label],0))+INDEX(Data[FY2027 ESAs],MATCH(A76,Data[Label],0))</f>
        <v>3789.9</v>
      </c>
      <c r="N76" s="218">
        <f t="shared" si="88"/>
        <v>783.33</v>
      </c>
      <c r="O76" s="218">
        <f t="shared" si="89"/>
        <v>80.38</v>
      </c>
      <c r="P76" s="218">
        <f t="shared" si="90"/>
        <v>92.649999999999991</v>
      </c>
      <c r="Q76" s="218">
        <f t="shared" si="91"/>
        <v>393</v>
      </c>
      <c r="R76" s="177">
        <f t="shared" ref="R76:R139" si="99">ROUND($M76*N76,0)</f>
        <v>2968742</v>
      </c>
      <c r="S76" s="177">
        <f t="shared" ref="S76:S139" si="100">ROUND($M76*O76,0)</f>
        <v>304632</v>
      </c>
      <c r="T76" s="177">
        <f t="shared" ref="T76:T139" si="101">ROUND($M76*P76,0)</f>
        <v>351134</v>
      </c>
      <c r="U76" s="177">
        <f t="shared" ref="U76" si="102">ROUND($M76*Q76,0)</f>
        <v>1489431</v>
      </c>
      <c r="V76" s="177">
        <f t="shared" si="93"/>
        <v>0</v>
      </c>
      <c r="W76" s="177">
        <f t="shared" si="94"/>
        <v>5113939</v>
      </c>
      <c r="X76" s="177">
        <f t="shared" si="95"/>
        <v>152598</v>
      </c>
      <c r="Y76" s="178">
        <f t="shared" si="96"/>
        <v>3.0757410143749442E-2</v>
      </c>
      <c r="Z76" s="179">
        <f t="shared" si="97"/>
        <v>44.700000000000273</v>
      </c>
      <c r="AA76" s="180">
        <f t="shared" si="98"/>
        <v>1.1935277154758164E-2</v>
      </c>
    </row>
    <row r="77" spans="1:27" x14ac:dyDescent="0.55000000000000004">
      <c r="A77" s="229" t="s">
        <v>70</v>
      </c>
      <c r="B77" s="181">
        <f>INDEX(Data[FY2026 Budget Enrollment],MATCH(A77,Data[Label],0))+INDEX(Data[FY2026 ESA],MATCH(A77,Data[Label],0))</f>
        <v>690.5</v>
      </c>
      <c r="C77" s="91">
        <f>INDEX(Data[FY2026 TSS],MATCH(A77,Data[Label],0))</f>
        <v>1049.57</v>
      </c>
      <c r="D77" s="91">
        <f>INDEX(Data[FY2026 PD],MATCH(A77,Data[Label],0))</f>
        <v>68.58</v>
      </c>
      <c r="E77" s="91">
        <f>INDEX(Data[FY2026 Early Intervention],MATCH(A77,Data[Label],0))</f>
        <v>79.48</v>
      </c>
      <c r="F77" s="91">
        <f>INDEX(Data[FY2026 TLC],MATCH(A77,Data[Label],0))</f>
        <v>385.29</v>
      </c>
      <c r="G77" s="182">
        <f t="shared" si="83"/>
        <v>724728</v>
      </c>
      <c r="H77" s="182">
        <f t="shared" si="84"/>
        <v>47354</v>
      </c>
      <c r="I77" s="182">
        <f t="shared" si="85"/>
        <v>54881</v>
      </c>
      <c r="J77" s="182">
        <f t="shared" si="86"/>
        <v>266043</v>
      </c>
      <c r="K77" s="182">
        <f>INDEX(Data[FY2026 TSS Budget Guarantee],MATCH(A77,Data[Label],0))+INDEX(Data[FY2026 PD Budget Guarantee],MATCH(A77,Data[Label],0))+INDEX(Data[FY2026 Early Intervention Budget Guarantee],MATCH(A77,Data[Label],0))+INDEX(Data[FY2026 TLC Budget Gurantee],MATCH(A77,Data[Label],0))</f>
        <v>6231</v>
      </c>
      <c r="L77" s="182">
        <f t="shared" si="87"/>
        <v>1099237</v>
      </c>
      <c r="M77" s="181">
        <f>INDEX(Data[FY2027 Budget Enrollment],MATCH(A77,Data[Label],0))+INDEX(Data[FY2027 ESAs],MATCH(A77,Data[Label],0))</f>
        <v>669.4</v>
      </c>
      <c r="N77" s="91">
        <f t="shared" si="88"/>
        <v>1063.26</v>
      </c>
      <c r="O77" s="91">
        <f t="shared" si="89"/>
        <v>70.13</v>
      </c>
      <c r="P77" s="91">
        <f t="shared" si="90"/>
        <v>81.17</v>
      </c>
      <c r="Q77" s="91">
        <f t="shared" si="91"/>
        <v>393</v>
      </c>
      <c r="R77" s="182">
        <f t="shared" si="99"/>
        <v>711746</v>
      </c>
      <c r="S77" s="182">
        <f t="shared" si="100"/>
        <v>46945</v>
      </c>
      <c r="T77" s="182">
        <f t="shared" si="101"/>
        <v>54335</v>
      </c>
      <c r="U77" s="182">
        <f t="shared" ref="U77" si="103">ROUND($M77*Q77,)</f>
        <v>263074</v>
      </c>
      <c r="V77" s="182">
        <f t="shared" si="93"/>
        <v>16906</v>
      </c>
      <c r="W77" s="182">
        <f t="shared" si="94"/>
        <v>1093006</v>
      </c>
      <c r="X77" s="182">
        <f t="shared" si="95"/>
        <v>-6231</v>
      </c>
      <c r="Y77" s="183">
        <f t="shared" si="96"/>
        <v>-5.6684773165386537E-3</v>
      </c>
      <c r="Z77" s="184">
        <f t="shared" si="97"/>
        <v>-21.100000000000023</v>
      </c>
      <c r="AA77" s="185">
        <f t="shared" si="98"/>
        <v>-3.0557566980448984E-2</v>
      </c>
    </row>
    <row r="78" spans="1:27" x14ac:dyDescent="0.55000000000000004">
      <c r="A78" s="230" t="s">
        <v>71</v>
      </c>
      <c r="B78" s="176">
        <f>INDEX(Data[FY2026 Budget Enrollment],MATCH(A78,Data[Label],0))+INDEX(Data[FY2026 ESA],MATCH(A78,Data[Label],0))</f>
        <v>5230.8</v>
      </c>
      <c r="C78" s="218">
        <f>INDEX(Data[FY2026 TSS],MATCH(A78,Data[Label],0))</f>
        <v>747.79</v>
      </c>
      <c r="D78" s="218">
        <f>INDEX(Data[FY2026 PD],MATCH(A78,Data[Label],0))</f>
        <v>79.930000000000007</v>
      </c>
      <c r="E78" s="218">
        <f>INDEX(Data[FY2026 Early Intervention],MATCH(A78,Data[Label],0))</f>
        <v>84.14</v>
      </c>
      <c r="F78" s="218">
        <f>INDEX(Data[FY2026 TLC],MATCH(A78,Data[Label],0))</f>
        <v>385.29</v>
      </c>
      <c r="G78" s="177">
        <f t="shared" si="83"/>
        <v>3911540</v>
      </c>
      <c r="H78" s="177">
        <f t="shared" si="84"/>
        <v>418098</v>
      </c>
      <c r="I78" s="177">
        <f t="shared" si="85"/>
        <v>440120</v>
      </c>
      <c r="J78" s="177">
        <f t="shared" si="86"/>
        <v>2015375</v>
      </c>
      <c r="K78" s="177">
        <f>INDEX(Data[FY2026 TSS Budget Guarantee],MATCH(A78,Data[Label],0))+INDEX(Data[FY2026 PD Budget Guarantee],MATCH(A78,Data[Label],0))+INDEX(Data[FY2026 Early Intervention Budget Guarantee],MATCH(A78,Data[Label],0))+INDEX(Data[FY2026 TLC Budget Gurantee],MATCH(A78,Data[Label],0))</f>
        <v>0</v>
      </c>
      <c r="L78" s="177">
        <f t="shared" si="87"/>
        <v>6785133</v>
      </c>
      <c r="M78" s="176">
        <f>INDEX(Data[FY2027 Budget Enrollment],MATCH(A78,Data[Label],0))+INDEX(Data[FY2027 ESAs],MATCH(A78,Data[Label],0))</f>
        <v>5196.6000000000004</v>
      </c>
      <c r="N78" s="218">
        <f t="shared" si="88"/>
        <v>761.48</v>
      </c>
      <c r="O78" s="218">
        <f t="shared" si="89"/>
        <v>81.48</v>
      </c>
      <c r="P78" s="218">
        <f t="shared" si="90"/>
        <v>85.83</v>
      </c>
      <c r="Q78" s="218">
        <f t="shared" si="91"/>
        <v>393</v>
      </c>
      <c r="R78" s="177">
        <f t="shared" si="99"/>
        <v>3957107</v>
      </c>
      <c r="S78" s="177">
        <f t="shared" si="100"/>
        <v>423419</v>
      </c>
      <c r="T78" s="177">
        <f t="shared" si="101"/>
        <v>446024</v>
      </c>
      <c r="U78" s="177">
        <f t="shared" ref="U78" si="104">ROUND($M78*Q78,0)</f>
        <v>2042264</v>
      </c>
      <c r="V78" s="177">
        <f t="shared" si="93"/>
        <v>0</v>
      </c>
      <c r="W78" s="177">
        <f t="shared" si="94"/>
        <v>6868814</v>
      </c>
      <c r="X78" s="177">
        <f t="shared" si="95"/>
        <v>83681</v>
      </c>
      <c r="Y78" s="178">
        <f t="shared" si="96"/>
        <v>1.23329933252598E-2</v>
      </c>
      <c r="Z78" s="179">
        <f t="shared" si="97"/>
        <v>-34.199999999999818</v>
      </c>
      <c r="AA78" s="180">
        <f t="shared" si="98"/>
        <v>-6.5381968341362345E-3</v>
      </c>
    </row>
    <row r="79" spans="1:27" x14ac:dyDescent="0.55000000000000004">
      <c r="A79" s="229" t="s">
        <v>72</v>
      </c>
      <c r="B79" s="181">
        <f>INDEX(Data[FY2026 Budget Enrollment],MATCH(A79,Data[Label],0))+INDEX(Data[FY2026 ESA],MATCH(A79,Data[Label],0))</f>
        <v>420.1</v>
      </c>
      <c r="C79" s="91">
        <f>INDEX(Data[FY2026 TSS],MATCH(A79,Data[Label],0))</f>
        <v>1259.24</v>
      </c>
      <c r="D79" s="91">
        <f>INDEX(Data[FY2026 PD],MATCH(A79,Data[Label],0))</f>
        <v>72.98</v>
      </c>
      <c r="E79" s="91">
        <f>INDEX(Data[FY2026 Early Intervention],MATCH(A79,Data[Label],0))</f>
        <v>79.69</v>
      </c>
      <c r="F79" s="91">
        <f>INDEX(Data[FY2026 TLC],MATCH(A79,Data[Label],0))</f>
        <v>385.29</v>
      </c>
      <c r="G79" s="182">
        <f t="shared" si="83"/>
        <v>529007</v>
      </c>
      <c r="H79" s="182">
        <f t="shared" si="84"/>
        <v>30659</v>
      </c>
      <c r="I79" s="182">
        <f t="shared" si="85"/>
        <v>33478</v>
      </c>
      <c r="J79" s="182">
        <f t="shared" si="86"/>
        <v>161860</v>
      </c>
      <c r="K79" s="182">
        <f>INDEX(Data[FY2026 TSS Budget Guarantee],MATCH(A79,Data[Label],0))+INDEX(Data[FY2026 PD Budget Guarantee],MATCH(A79,Data[Label],0))+INDEX(Data[FY2026 Early Intervention Budget Guarantee],MATCH(A79,Data[Label],0))+INDEX(Data[FY2026 TLC Budget Gurantee],MATCH(A79,Data[Label],0))</f>
        <v>7935</v>
      </c>
      <c r="L79" s="182">
        <f t="shared" si="87"/>
        <v>762939</v>
      </c>
      <c r="M79" s="181">
        <f>INDEX(Data[FY2027 Budget Enrollment],MATCH(A79,Data[Label],0))+INDEX(Data[FY2027 ESAs],MATCH(A79,Data[Label],0))</f>
        <v>426</v>
      </c>
      <c r="N79" s="91">
        <f t="shared" si="88"/>
        <v>1272.93</v>
      </c>
      <c r="O79" s="91">
        <f t="shared" si="89"/>
        <v>74.53</v>
      </c>
      <c r="P79" s="91">
        <f t="shared" si="90"/>
        <v>81.38</v>
      </c>
      <c r="Q79" s="91">
        <f t="shared" si="91"/>
        <v>393</v>
      </c>
      <c r="R79" s="182">
        <f t="shared" si="99"/>
        <v>542268</v>
      </c>
      <c r="S79" s="182">
        <f t="shared" si="100"/>
        <v>31750</v>
      </c>
      <c r="T79" s="182">
        <f t="shared" si="101"/>
        <v>34668</v>
      </c>
      <c r="U79" s="182">
        <f t="shared" ref="U79" si="105">ROUND($M79*Q79,)</f>
        <v>167418</v>
      </c>
      <c r="V79" s="182">
        <f t="shared" si="93"/>
        <v>0</v>
      </c>
      <c r="W79" s="182">
        <f t="shared" si="94"/>
        <v>776104</v>
      </c>
      <c r="X79" s="182">
        <f t="shared" si="95"/>
        <v>13165</v>
      </c>
      <c r="Y79" s="183">
        <f t="shared" si="96"/>
        <v>1.7255639048469145E-2</v>
      </c>
      <c r="Z79" s="184">
        <f t="shared" si="97"/>
        <v>5.8999999999999773</v>
      </c>
      <c r="AA79" s="185">
        <f t="shared" si="98"/>
        <v>1.4044275172577904E-2</v>
      </c>
    </row>
    <row r="80" spans="1:27" x14ac:dyDescent="0.55000000000000004">
      <c r="A80" s="230" t="s">
        <v>73</v>
      </c>
      <c r="B80" s="176">
        <f>INDEX(Data[FY2026 Budget Enrollment],MATCH(A80,Data[Label],0))+INDEX(Data[FY2026 ESA],MATCH(A80,Data[Label],0))</f>
        <v>452</v>
      </c>
      <c r="C80" s="218">
        <f>INDEX(Data[FY2026 TSS],MATCH(A80,Data[Label],0))</f>
        <v>1161.73</v>
      </c>
      <c r="D80" s="218">
        <f>INDEX(Data[FY2026 PD],MATCH(A80,Data[Label],0))</f>
        <v>74.739999999999995</v>
      </c>
      <c r="E80" s="218">
        <f>INDEX(Data[FY2026 Early Intervention],MATCH(A80,Data[Label],0))</f>
        <v>79.650000000000006</v>
      </c>
      <c r="F80" s="218">
        <f>INDEX(Data[FY2026 TLC],MATCH(A80,Data[Label],0))</f>
        <v>385.29</v>
      </c>
      <c r="G80" s="177">
        <f t="shared" si="83"/>
        <v>525102</v>
      </c>
      <c r="H80" s="177">
        <f t="shared" si="84"/>
        <v>33782</v>
      </c>
      <c r="I80" s="177">
        <f t="shared" si="85"/>
        <v>36002</v>
      </c>
      <c r="J80" s="177">
        <f t="shared" si="86"/>
        <v>174151</v>
      </c>
      <c r="K80" s="177">
        <f>INDEX(Data[FY2026 TSS Budget Guarantee],MATCH(A80,Data[Label],0))+INDEX(Data[FY2026 PD Budget Guarantee],MATCH(A80,Data[Label],0))+INDEX(Data[FY2026 Early Intervention Budget Guarantee],MATCH(A80,Data[Label],0))+INDEX(Data[FY2026 TLC Budget Gurantee],MATCH(A80,Data[Label],0))</f>
        <v>0</v>
      </c>
      <c r="L80" s="177">
        <f t="shared" si="87"/>
        <v>769037</v>
      </c>
      <c r="M80" s="176">
        <f>INDEX(Data[FY2027 Budget Enrollment],MATCH(A80,Data[Label],0))+INDEX(Data[FY2027 ESAs],MATCH(A80,Data[Label],0))</f>
        <v>442.5</v>
      </c>
      <c r="N80" s="218">
        <f t="shared" si="88"/>
        <v>1175.42</v>
      </c>
      <c r="O80" s="218">
        <f t="shared" si="89"/>
        <v>76.289999999999992</v>
      </c>
      <c r="P80" s="218">
        <f t="shared" si="90"/>
        <v>81.34</v>
      </c>
      <c r="Q80" s="218">
        <f t="shared" si="91"/>
        <v>393</v>
      </c>
      <c r="R80" s="177">
        <f t="shared" si="99"/>
        <v>520123</v>
      </c>
      <c r="S80" s="177">
        <f t="shared" si="100"/>
        <v>33758</v>
      </c>
      <c r="T80" s="177">
        <f t="shared" si="101"/>
        <v>35993</v>
      </c>
      <c r="U80" s="177">
        <f t="shared" ref="U80" si="106">ROUND($M80*Q80,0)</f>
        <v>173903</v>
      </c>
      <c r="V80" s="177">
        <f t="shared" si="93"/>
        <v>5260</v>
      </c>
      <c r="W80" s="177">
        <f t="shared" si="94"/>
        <v>769037</v>
      </c>
      <c r="X80" s="177">
        <f t="shared" si="95"/>
        <v>0</v>
      </c>
      <c r="Y80" s="178">
        <f t="shared" si="96"/>
        <v>0</v>
      </c>
      <c r="Z80" s="179">
        <f t="shared" si="97"/>
        <v>-9.5</v>
      </c>
      <c r="AA80" s="180">
        <f t="shared" si="98"/>
        <v>-2.1017699115044249E-2</v>
      </c>
    </row>
    <row r="81" spans="1:27" x14ac:dyDescent="0.55000000000000004">
      <c r="A81" s="229" t="s">
        <v>74</v>
      </c>
      <c r="B81" s="181">
        <f>INDEX(Data[FY2026 Budget Enrollment],MATCH(A81,Data[Label],0))+INDEX(Data[FY2026 ESA],MATCH(A81,Data[Label],0))</f>
        <v>764.5</v>
      </c>
      <c r="C81" s="91">
        <f>INDEX(Data[FY2026 TSS],MATCH(A81,Data[Label],0))</f>
        <v>1129.0999999999999</v>
      </c>
      <c r="D81" s="91">
        <f>INDEX(Data[FY2026 PD],MATCH(A81,Data[Label],0))</f>
        <v>85.08</v>
      </c>
      <c r="E81" s="91">
        <f>INDEX(Data[FY2026 Early Intervention],MATCH(A81,Data[Label],0))</f>
        <v>88.84</v>
      </c>
      <c r="F81" s="91">
        <f>INDEX(Data[FY2026 TLC],MATCH(A81,Data[Label],0))</f>
        <v>385.29</v>
      </c>
      <c r="G81" s="182">
        <f t="shared" si="83"/>
        <v>863197</v>
      </c>
      <c r="H81" s="182">
        <f t="shared" si="84"/>
        <v>65044</v>
      </c>
      <c r="I81" s="182">
        <f t="shared" si="85"/>
        <v>67918</v>
      </c>
      <c r="J81" s="182">
        <f t="shared" si="86"/>
        <v>294554</v>
      </c>
      <c r="K81" s="182">
        <f>INDEX(Data[FY2026 TSS Budget Guarantee],MATCH(A81,Data[Label],0))+INDEX(Data[FY2026 PD Budget Guarantee],MATCH(A81,Data[Label],0))+INDEX(Data[FY2026 Early Intervention Budget Guarantee],MATCH(A81,Data[Label],0))+INDEX(Data[FY2026 TLC Budget Gurantee],MATCH(A81,Data[Label],0))</f>
        <v>0</v>
      </c>
      <c r="L81" s="182">
        <f t="shared" si="87"/>
        <v>1290713</v>
      </c>
      <c r="M81" s="181">
        <f>INDEX(Data[FY2027 Budget Enrollment],MATCH(A81,Data[Label],0))+INDEX(Data[FY2027 ESAs],MATCH(A81,Data[Label],0))</f>
        <v>740.2</v>
      </c>
      <c r="N81" s="91">
        <f t="shared" si="88"/>
        <v>1142.79</v>
      </c>
      <c r="O81" s="91">
        <f t="shared" si="89"/>
        <v>86.63</v>
      </c>
      <c r="P81" s="91">
        <f t="shared" si="90"/>
        <v>90.53</v>
      </c>
      <c r="Q81" s="91">
        <f t="shared" si="91"/>
        <v>393</v>
      </c>
      <c r="R81" s="182">
        <f t="shared" si="99"/>
        <v>845893</v>
      </c>
      <c r="S81" s="182">
        <f t="shared" si="100"/>
        <v>64124</v>
      </c>
      <c r="T81" s="182">
        <f t="shared" si="101"/>
        <v>67010</v>
      </c>
      <c r="U81" s="182">
        <f t="shared" ref="U81" si="107">ROUND($M81*Q81,)</f>
        <v>290899</v>
      </c>
      <c r="V81" s="182">
        <f t="shared" si="93"/>
        <v>22787</v>
      </c>
      <c r="W81" s="182">
        <f t="shared" si="94"/>
        <v>1290713</v>
      </c>
      <c r="X81" s="182">
        <f t="shared" si="95"/>
        <v>0</v>
      </c>
      <c r="Y81" s="183">
        <f t="shared" si="96"/>
        <v>0</v>
      </c>
      <c r="Z81" s="184">
        <f t="shared" si="97"/>
        <v>-24.299999999999955</v>
      </c>
      <c r="AA81" s="185">
        <f t="shared" si="98"/>
        <v>-3.1785480706343953E-2</v>
      </c>
    </row>
    <row r="82" spans="1:27" x14ac:dyDescent="0.55000000000000004">
      <c r="A82" s="230" t="s">
        <v>75</v>
      </c>
      <c r="B82" s="176">
        <f>INDEX(Data[FY2026 Budget Enrollment],MATCH(A82,Data[Label],0))+INDEX(Data[FY2026 ESA],MATCH(A82,Data[Label],0))</f>
        <v>441.4</v>
      </c>
      <c r="C82" s="218">
        <f>INDEX(Data[FY2026 TSS],MATCH(A82,Data[Label],0))</f>
        <v>1369.24</v>
      </c>
      <c r="D82" s="218">
        <f>INDEX(Data[FY2026 PD],MATCH(A82,Data[Label],0))</f>
        <v>82.04</v>
      </c>
      <c r="E82" s="218">
        <f>INDEX(Data[FY2026 Early Intervention],MATCH(A82,Data[Label],0))</f>
        <v>88.27</v>
      </c>
      <c r="F82" s="218">
        <f>INDEX(Data[FY2026 TLC],MATCH(A82,Data[Label],0))</f>
        <v>385.29</v>
      </c>
      <c r="G82" s="177">
        <f t="shared" si="83"/>
        <v>604383</v>
      </c>
      <c r="H82" s="177">
        <f t="shared" si="84"/>
        <v>36212</v>
      </c>
      <c r="I82" s="177">
        <f t="shared" si="85"/>
        <v>38962</v>
      </c>
      <c r="J82" s="177">
        <f t="shared" si="86"/>
        <v>170067</v>
      </c>
      <c r="K82" s="177">
        <f>INDEX(Data[FY2026 TSS Budget Guarantee],MATCH(A82,Data[Label],0))+INDEX(Data[FY2026 PD Budget Guarantee],MATCH(A82,Data[Label],0))+INDEX(Data[FY2026 Early Intervention Budget Guarantee],MATCH(A82,Data[Label],0))+INDEX(Data[FY2026 TLC Budget Gurantee],MATCH(A82,Data[Label],0))</f>
        <v>0</v>
      </c>
      <c r="L82" s="177">
        <f t="shared" si="87"/>
        <v>849624</v>
      </c>
      <c r="M82" s="176">
        <f>INDEX(Data[FY2027 Budget Enrollment],MATCH(A82,Data[Label],0))+INDEX(Data[FY2027 ESAs],MATCH(A82,Data[Label],0))</f>
        <v>442</v>
      </c>
      <c r="N82" s="218">
        <f t="shared" si="88"/>
        <v>1382.93</v>
      </c>
      <c r="O82" s="218">
        <f t="shared" si="89"/>
        <v>83.59</v>
      </c>
      <c r="P82" s="218">
        <f t="shared" si="90"/>
        <v>89.96</v>
      </c>
      <c r="Q82" s="218">
        <f t="shared" si="91"/>
        <v>393</v>
      </c>
      <c r="R82" s="177">
        <f t="shared" si="99"/>
        <v>611255</v>
      </c>
      <c r="S82" s="177">
        <f t="shared" si="100"/>
        <v>36947</v>
      </c>
      <c r="T82" s="177">
        <f t="shared" si="101"/>
        <v>39762</v>
      </c>
      <c r="U82" s="177">
        <f t="shared" ref="U82" si="108">ROUND($M82*Q82,0)</f>
        <v>173706</v>
      </c>
      <c r="V82" s="177">
        <f t="shared" si="93"/>
        <v>0</v>
      </c>
      <c r="W82" s="177">
        <f t="shared" si="94"/>
        <v>861670</v>
      </c>
      <c r="X82" s="177">
        <f t="shared" si="95"/>
        <v>12046</v>
      </c>
      <c r="Y82" s="178">
        <f t="shared" si="96"/>
        <v>1.4178036401984877E-2</v>
      </c>
      <c r="Z82" s="179">
        <f t="shared" si="97"/>
        <v>0.60000000000002274</v>
      </c>
      <c r="AA82" s="180">
        <f t="shared" si="98"/>
        <v>1.3593112822836944E-3</v>
      </c>
    </row>
    <row r="83" spans="1:27" x14ac:dyDescent="0.55000000000000004">
      <c r="A83" s="229" t="s">
        <v>76</v>
      </c>
      <c r="B83" s="181">
        <f>INDEX(Data[FY2026 Budget Enrollment],MATCH(A83,Data[Label],0))+INDEX(Data[FY2026 ESA],MATCH(A83,Data[Label],0))</f>
        <v>401.1</v>
      </c>
      <c r="C83" s="91">
        <f>INDEX(Data[FY2026 TSS],MATCH(A83,Data[Label],0))</f>
        <v>1109.5</v>
      </c>
      <c r="D83" s="91">
        <f>INDEX(Data[FY2026 PD],MATCH(A83,Data[Label],0))</f>
        <v>78.739999999999995</v>
      </c>
      <c r="E83" s="91">
        <f>INDEX(Data[FY2026 Early Intervention],MATCH(A83,Data[Label],0))</f>
        <v>92.06</v>
      </c>
      <c r="F83" s="91">
        <f>INDEX(Data[FY2026 TLC],MATCH(A83,Data[Label],0))</f>
        <v>385.29</v>
      </c>
      <c r="G83" s="182">
        <f t="shared" si="83"/>
        <v>445020</v>
      </c>
      <c r="H83" s="182">
        <f t="shared" si="84"/>
        <v>31583</v>
      </c>
      <c r="I83" s="182">
        <f t="shared" si="85"/>
        <v>36925</v>
      </c>
      <c r="J83" s="182">
        <f t="shared" si="86"/>
        <v>154540</v>
      </c>
      <c r="K83" s="182">
        <f>INDEX(Data[FY2026 TSS Budget Guarantee],MATCH(A83,Data[Label],0))+INDEX(Data[FY2026 PD Budget Guarantee],MATCH(A83,Data[Label],0))+INDEX(Data[FY2026 Early Intervention Budget Guarantee],MATCH(A83,Data[Label],0))+INDEX(Data[FY2026 TLC Budget Gurantee],MATCH(A83,Data[Label],0))</f>
        <v>0</v>
      </c>
      <c r="L83" s="182">
        <f t="shared" si="87"/>
        <v>668068</v>
      </c>
      <c r="M83" s="181">
        <f>INDEX(Data[FY2027 Budget Enrollment],MATCH(A83,Data[Label],0))+INDEX(Data[FY2027 ESAs],MATCH(A83,Data[Label],0))</f>
        <v>394</v>
      </c>
      <c r="N83" s="91">
        <f t="shared" si="88"/>
        <v>1123.19</v>
      </c>
      <c r="O83" s="91">
        <f t="shared" si="89"/>
        <v>80.289999999999992</v>
      </c>
      <c r="P83" s="91">
        <f t="shared" si="90"/>
        <v>93.75</v>
      </c>
      <c r="Q83" s="91">
        <f t="shared" si="91"/>
        <v>393</v>
      </c>
      <c r="R83" s="182">
        <f t="shared" si="99"/>
        <v>442537</v>
      </c>
      <c r="S83" s="182">
        <f t="shared" si="100"/>
        <v>31634</v>
      </c>
      <c r="T83" s="182">
        <f t="shared" si="101"/>
        <v>36938</v>
      </c>
      <c r="U83" s="182">
        <f t="shared" ref="U83" si="109">ROUND($M83*Q83,)</f>
        <v>154842</v>
      </c>
      <c r="V83" s="182">
        <f t="shared" si="93"/>
        <v>2483</v>
      </c>
      <c r="W83" s="182">
        <f t="shared" si="94"/>
        <v>668434</v>
      </c>
      <c r="X83" s="182">
        <f t="shared" si="95"/>
        <v>366</v>
      </c>
      <c r="Y83" s="183">
        <f t="shared" si="96"/>
        <v>5.4784842261566184E-4</v>
      </c>
      <c r="Z83" s="184">
        <f t="shared" si="97"/>
        <v>-7.1000000000000227</v>
      </c>
      <c r="AA83" s="185">
        <f t="shared" si="98"/>
        <v>-1.7701321366242889E-2</v>
      </c>
    </row>
    <row r="84" spans="1:27" x14ac:dyDescent="0.55000000000000004">
      <c r="A84" s="230" t="s">
        <v>77</v>
      </c>
      <c r="B84" s="176">
        <f>INDEX(Data[FY2026 Budget Enrollment],MATCH(A84,Data[Label],0))+INDEX(Data[FY2026 ESA],MATCH(A84,Data[Label],0))</f>
        <v>8856.1</v>
      </c>
      <c r="C84" s="218">
        <f>INDEX(Data[FY2026 TSS],MATCH(A84,Data[Label],0))</f>
        <v>719.75</v>
      </c>
      <c r="D84" s="218">
        <f>INDEX(Data[FY2026 PD],MATCH(A84,Data[Label],0))</f>
        <v>76.510000000000005</v>
      </c>
      <c r="E84" s="218">
        <f>INDEX(Data[FY2026 Early Intervention],MATCH(A84,Data[Label],0))</f>
        <v>95.66</v>
      </c>
      <c r="F84" s="218">
        <f>INDEX(Data[FY2026 TLC],MATCH(A84,Data[Label],0))</f>
        <v>385.29</v>
      </c>
      <c r="G84" s="177">
        <f t="shared" si="83"/>
        <v>6374178</v>
      </c>
      <c r="H84" s="177">
        <f t="shared" si="84"/>
        <v>677580</v>
      </c>
      <c r="I84" s="177">
        <f t="shared" si="85"/>
        <v>847175</v>
      </c>
      <c r="J84" s="177">
        <f t="shared" si="86"/>
        <v>3412167</v>
      </c>
      <c r="K84" s="177">
        <f>INDEX(Data[FY2026 TSS Budget Guarantee],MATCH(A84,Data[Label],0))+INDEX(Data[FY2026 PD Budget Guarantee],MATCH(A84,Data[Label],0))+INDEX(Data[FY2026 Early Intervention Budget Guarantee],MATCH(A84,Data[Label],0))+INDEX(Data[FY2026 TLC Budget Gurantee],MATCH(A84,Data[Label],0))</f>
        <v>0</v>
      </c>
      <c r="L84" s="177">
        <f t="shared" si="87"/>
        <v>11311100</v>
      </c>
      <c r="M84" s="176">
        <f>INDEX(Data[FY2027 Budget Enrollment],MATCH(A84,Data[Label],0))+INDEX(Data[FY2027 ESAs],MATCH(A84,Data[Label],0))</f>
        <v>8837.2999999999993</v>
      </c>
      <c r="N84" s="218">
        <f t="shared" si="88"/>
        <v>733.44</v>
      </c>
      <c r="O84" s="218">
        <f t="shared" si="89"/>
        <v>78.06</v>
      </c>
      <c r="P84" s="218">
        <f t="shared" si="90"/>
        <v>97.35</v>
      </c>
      <c r="Q84" s="218">
        <f t="shared" si="91"/>
        <v>393</v>
      </c>
      <c r="R84" s="177">
        <f t="shared" si="99"/>
        <v>6481629</v>
      </c>
      <c r="S84" s="177">
        <f t="shared" si="100"/>
        <v>689840</v>
      </c>
      <c r="T84" s="177">
        <f t="shared" si="101"/>
        <v>860311</v>
      </c>
      <c r="U84" s="177">
        <f t="shared" ref="U84" si="110">ROUND($M84*Q84,0)</f>
        <v>3473059</v>
      </c>
      <c r="V84" s="177">
        <f t="shared" si="93"/>
        <v>0</v>
      </c>
      <c r="W84" s="177">
        <f t="shared" si="94"/>
        <v>11504839</v>
      </c>
      <c r="X84" s="177">
        <f t="shared" si="95"/>
        <v>193739</v>
      </c>
      <c r="Y84" s="178">
        <f t="shared" si="96"/>
        <v>1.7128219182926507E-2</v>
      </c>
      <c r="Z84" s="179">
        <f t="shared" si="97"/>
        <v>-18.800000000001091</v>
      </c>
      <c r="AA84" s="180">
        <f t="shared" si="98"/>
        <v>-2.1228305913439426E-3</v>
      </c>
    </row>
    <row r="85" spans="1:27" x14ac:dyDescent="0.55000000000000004">
      <c r="A85" s="229" t="s">
        <v>78</v>
      </c>
      <c r="B85" s="181">
        <f>INDEX(Data[FY2026 Budget Enrollment],MATCH(A85,Data[Label],0))+INDEX(Data[FY2026 ESA],MATCH(A85,Data[Label],0))</f>
        <v>1407.5</v>
      </c>
      <c r="C85" s="91">
        <f>INDEX(Data[FY2026 TSS],MATCH(A85,Data[Label],0))</f>
        <v>887.16</v>
      </c>
      <c r="D85" s="91">
        <f>INDEX(Data[FY2026 PD],MATCH(A85,Data[Label],0))</f>
        <v>76.72</v>
      </c>
      <c r="E85" s="91">
        <f>INDEX(Data[FY2026 Early Intervention],MATCH(A85,Data[Label],0))</f>
        <v>87.13</v>
      </c>
      <c r="F85" s="91">
        <f>INDEX(Data[FY2026 TLC],MATCH(A85,Data[Label],0))</f>
        <v>385.29</v>
      </c>
      <c r="G85" s="182">
        <f t="shared" si="83"/>
        <v>1248678</v>
      </c>
      <c r="H85" s="182">
        <f t="shared" si="84"/>
        <v>107983</v>
      </c>
      <c r="I85" s="182">
        <f t="shared" si="85"/>
        <v>122635</v>
      </c>
      <c r="J85" s="182">
        <f t="shared" si="86"/>
        <v>542296</v>
      </c>
      <c r="K85" s="182">
        <f>INDEX(Data[FY2026 TSS Budget Guarantee],MATCH(A85,Data[Label],0))+INDEX(Data[FY2026 PD Budget Guarantee],MATCH(A85,Data[Label],0))+INDEX(Data[FY2026 Early Intervention Budget Guarantee],MATCH(A85,Data[Label],0))+INDEX(Data[FY2026 TLC Budget Gurantee],MATCH(A85,Data[Label],0))</f>
        <v>0</v>
      </c>
      <c r="L85" s="182">
        <f t="shared" si="87"/>
        <v>2021592</v>
      </c>
      <c r="M85" s="181">
        <f>INDEX(Data[FY2027 Budget Enrollment],MATCH(A85,Data[Label],0))+INDEX(Data[FY2027 ESAs],MATCH(A85,Data[Label],0))</f>
        <v>1433.7</v>
      </c>
      <c r="N85" s="91">
        <f t="shared" si="88"/>
        <v>900.85</v>
      </c>
      <c r="O85" s="91">
        <f t="shared" si="89"/>
        <v>78.27</v>
      </c>
      <c r="P85" s="91">
        <f t="shared" si="90"/>
        <v>88.82</v>
      </c>
      <c r="Q85" s="91">
        <f t="shared" si="91"/>
        <v>393</v>
      </c>
      <c r="R85" s="182">
        <f t="shared" si="99"/>
        <v>1291549</v>
      </c>
      <c r="S85" s="182">
        <f t="shared" si="100"/>
        <v>112216</v>
      </c>
      <c r="T85" s="182">
        <f t="shared" si="101"/>
        <v>127341</v>
      </c>
      <c r="U85" s="182">
        <f t="shared" ref="U85" si="111">ROUND($M85*Q85,)</f>
        <v>563444</v>
      </c>
      <c r="V85" s="182">
        <f t="shared" si="93"/>
        <v>0</v>
      </c>
      <c r="W85" s="182">
        <f t="shared" si="94"/>
        <v>2094550</v>
      </c>
      <c r="X85" s="182">
        <f t="shared" si="95"/>
        <v>72958</v>
      </c>
      <c r="Y85" s="183">
        <f t="shared" si="96"/>
        <v>3.6089379063629058E-2</v>
      </c>
      <c r="Z85" s="184">
        <f t="shared" si="97"/>
        <v>26.200000000000045</v>
      </c>
      <c r="AA85" s="185">
        <f t="shared" si="98"/>
        <v>1.8614564831261133E-2</v>
      </c>
    </row>
    <row r="86" spans="1:27" x14ac:dyDescent="0.55000000000000004">
      <c r="A86" s="230" t="s">
        <v>79</v>
      </c>
      <c r="B86" s="176">
        <f>INDEX(Data[FY2026 Budget Enrollment],MATCH(A86,Data[Label],0))+INDEX(Data[FY2026 ESA],MATCH(A86,Data[Label],0))</f>
        <v>3522.3</v>
      </c>
      <c r="C86" s="218">
        <f>INDEX(Data[FY2026 TSS],MATCH(A86,Data[Label],0))</f>
        <v>720.75</v>
      </c>
      <c r="D86" s="218">
        <f>INDEX(Data[FY2026 PD],MATCH(A86,Data[Label],0))</f>
        <v>70.209999999999994</v>
      </c>
      <c r="E86" s="218">
        <f>INDEX(Data[FY2026 Early Intervention],MATCH(A86,Data[Label],0))</f>
        <v>78.599999999999994</v>
      </c>
      <c r="F86" s="218">
        <f>INDEX(Data[FY2026 TLC],MATCH(A86,Data[Label],0))</f>
        <v>385.29</v>
      </c>
      <c r="G86" s="177">
        <f t="shared" si="83"/>
        <v>2538698</v>
      </c>
      <c r="H86" s="177">
        <f t="shared" si="84"/>
        <v>247301</v>
      </c>
      <c r="I86" s="177">
        <f t="shared" si="85"/>
        <v>276853</v>
      </c>
      <c r="J86" s="177">
        <f t="shared" si="86"/>
        <v>1357107</v>
      </c>
      <c r="K86" s="177">
        <f>INDEX(Data[FY2026 TSS Budget Guarantee],MATCH(A86,Data[Label],0))+INDEX(Data[FY2026 PD Budget Guarantee],MATCH(A86,Data[Label],0))+INDEX(Data[FY2026 Early Intervention Budget Guarantee],MATCH(A86,Data[Label],0))+INDEX(Data[FY2026 TLC Budget Gurantee],MATCH(A86,Data[Label],0))</f>
        <v>0</v>
      </c>
      <c r="L86" s="177">
        <f t="shared" si="87"/>
        <v>4419959</v>
      </c>
      <c r="M86" s="176">
        <f>INDEX(Data[FY2027 Budget Enrollment],MATCH(A86,Data[Label],0))+INDEX(Data[FY2027 ESAs],MATCH(A86,Data[Label],0))</f>
        <v>3559.7</v>
      </c>
      <c r="N86" s="218">
        <f t="shared" si="88"/>
        <v>734.44</v>
      </c>
      <c r="O86" s="218">
        <f t="shared" si="89"/>
        <v>71.759999999999991</v>
      </c>
      <c r="P86" s="218">
        <f t="shared" si="90"/>
        <v>80.289999999999992</v>
      </c>
      <c r="Q86" s="218">
        <f t="shared" si="91"/>
        <v>393</v>
      </c>
      <c r="R86" s="177">
        <f t="shared" si="99"/>
        <v>2614386</v>
      </c>
      <c r="S86" s="177">
        <f t="shared" si="100"/>
        <v>255444</v>
      </c>
      <c r="T86" s="177">
        <f t="shared" si="101"/>
        <v>285808</v>
      </c>
      <c r="U86" s="177">
        <f t="shared" ref="U86" si="112">ROUND($M86*Q86,0)</f>
        <v>1398962</v>
      </c>
      <c r="V86" s="177">
        <f t="shared" si="93"/>
        <v>0</v>
      </c>
      <c r="W86" s="177">
        <f t="shared" si="94"/>
        <v>4554600</v>
      </c>
      <c r="X86" s="177">
        <f t="shared" si="95"/>
        <v>134641</v>
      </c>
      <c r="Y86" s="178">
        <f t="shared" si="96"/>
        <v>3.0462047272384201E-2</v>
      </c>
      <c r="Z86" s="179">
        <f t="shared" si="97"/>
        <v>37.399999999999636</v>
      </c>
      <c r="AA86" s="180">
        <f t="shared" si="98"/>
        <v>1.0618062061720931E-2</v>
      </c>
    </row>
    <row r="87" spans="1:27" x14ac:dyDescent="0.55000000000000004">
      <c r="A87" s="229" t="s">
        <v>80</v>
      </c>
      <c r="B87" s="181">
        <f>INDEX(Data[FY2026 Budget Enrollment],MATCH(A87,Data[Label],0))+INDEX(Data[FY2026 ESA],MATCH(A87,Data[Label],0))</f>
        <v>426.9</v>
      </c>
      <c r="C87" s="91">
        <f>INDEX(Data[FY2026 TSS],MATCH(A87,Data[Label],0))</f>
        <v>1235.71</v>
      </c>
      <c r="D87" s="91">
        <f>INDEX(Data[FY2026 PD],MATCH(A87,Data[Label],0))</f>
        <v>76.41</v>
      </c>
      <c r="E87" s="91">
        <f>INDEX(Data[FY2026 Early Intervention],MATCH(A87,Data[Label],0))</f>
        <v>84.88</v>
      </c>
      <c r="F87" s="91">
        <f>INDEX(Data[FY2026 TLC],MATCH(A87,Data[Label],0))</f>
        <v>385.29</v>
      </c>
      <c r="G87" s="182">
        <f t="shared" si="83"/>
        <v>527525</v>
      </c>
      <c r="H87" s="182">
        <f t="shared" si="84"/>
        <v>32619</v>
      </c>
      <c r="I87" s="182">
        <f t="shared" si="85"/>
        <v>36235</v>
      </c>
      <c r="J87" s="182">
        <f t="shared" si="86"/>
        <v>164480</v>
      </c>
      <c r="K87" s="182">
        <f>INDEX(Data[FY2026 TSS Budget Guarantee],MATCH(A87,Data[Label],0))+INDEX(Data[FY2026 PD Budget Guarantee],MATCH(A87,Data[Label],0))+INDEX(Data[FY2026 Early Intervention Budget Guarantee],MATCH(A87,Data[Label],0))+INDEX(Data[FY2026 TLC Budget Gurantee],MATCH(A87,Data[Label],0))</f>
        <v>4637</v>
      </c>
      <c r="L87" s="182">
        <f t="shared" si="87"/>
        <v>765496</v>
      </c>
      <c r="M87" s="181">
        <f>INDEX(Data[FY2027 Budget Enrollment],MATCH(A87,Data[Label],0))+INDEX(Data[FY2027 ESAs],MATCH(A87,Data[Label],0))</f>
        <v>436.6</v>
      </c>
      <c r="N87" s="91">
        <f t="shared" si="88"/>
        <v>1249.4000000000001</v>
      </c>
      <c r="O87" s="91">
        <f t="shared" si="89"/>
        <v>77.959999999999994</v>
      </c>
      <c r="P87" s="91">
        <f t="shared" si="90"/>
        <v>86.57</v>
      </c>
      <c r="Q87" s="91">
        <f t="shared" si="91"/>
        <v>393</v>
      </c>
      <c r="R87" s="182">
        <f t="shared" si="99"/>
        <v>545488</v>
      </c>
      <c r="S87" s="182">
        <f t="shared" si="100"/>
        <v>34037</v>
      </c>
      <c r="T87" s="182">
        <f t="shared" si="101"/>
        <v>37796</v>
      </c>
      <c r="U87" s="182">
        <f t="shared" ref="U87" si="113">ROUND($M87*Q87,)</f>
        <v>171584</v>
      </c>
      <c r="V87" s="182">
        <f t="shared" si="93"/>
        <v>0</v>
      </c>
      <c r="W87" s="182">
        <f t="shared" si="94"/>
        <v>788905</v>
      </c>
      <c r="X87" s="182">
        <f t="shared" si="95"/>
        <v>23409</v>
      </c>
      <c r="Y87" s="183">
        <f t="shared" si="96"/>
        <v>3.0580172855246793E-2</v>
      </c>
      <c r="Z87" s="184">
        <f t="shared" si="97"/>
        <v>9.7000000000000455</v>
      </c>
      <c r="AA87" s="185">
        <f t="shared" si="98"/>
        <v>2.2721948934176731E-2</v>
      </c>
    </row>
    <row r="88" spans="1:27" x14ac:dyDescent="0.55000000000000004">
      <c r="A88" s="230" t="s">
        <v>81</v>
      </c>
      <c r="B88" s="176">
        <f>INDEX(Data[FY2026 Budget Enrollment],MATCH(A88,Data[Label],0))+INDEX(Data[FY2026 ESA],MATCH(A88,Data[Label],0))</f>
        <v>15086.8</v>
      </c>
      <c r="C88" s="218">
        <f>INDEX(Data[FY2026 TSS],MATCH(A88,Data[Label],0))</f>
        <v>741.68</v>
      </c>
      <c r="D88" s="218">
        <f>INDEX(Data[FY2026 PD],MATCH(A88,Data[Label],0))</f>
        <v>81.78</v>
      </c>
      <c r="E88" s="218">
        <f>INDEX(Data[FY2026 Early Intervention],MATCH(A88,Data[Label],0))</f>
        <v>95.27</v>
      </c>
      <c r="F88" s="218">
        <f>INDEX(Data[FY2026 TLC],MATCH(A88,Data[Label],0))</f>
        <v>385.29</v>
      </c>
      <c r="G88" s="177">
        <f t="shared" si="83"/>
        <v>11189578</v>
      </c>
      <c r="H88" s="177">
        <f t="shared" si="84"/>
        <v>1233799</v>
      </c>
      <c r="I88" s="177">
        <f t="shared" si="85"/>
        <v>1437319</v>
      </c>
      <c r="J88" s="177">
        <f t="shared" si="86"/>
        <v>5812793</v>
      </c>
      <c r="K88" s="177">
        <f>INDEX(Data[FY2026 TSS Budget Guarantee],MATCH(A88,Data[Label],0))+INDEX(Data[FY2026 PD Budget Guarantee],MATCH(A88,Data[Label],0))+INDEX(Data[FY2026 Early Intervention Budget Guarantee],MATCH(A88,Data[Label],0))+INDEX(Data[FY2026 TLC Budget Gurantee],MATCH(A88,Data[Label],0))</f>
        <v>0</v>
      </c>
      <c r="L88" s="177">
        <f t="shared" si="87"/>
        <v>19673489</v>
      </c>
      <c r="M88" s="176">
        <f>INDEX(Data[FY2027 Budget Enrollment],MATCH(A88,Data[Label],0))+INDEX(Data[FY2027 ESAs],MATCH(A88,Data[Label],0))</f>
        <v>15473.5</v>
      </c>
      <c r="N88" s="218">
        <f t="shared" si="88"/>
        <v>755.37</v>
      </c>
      <c r="O88" s="218">
        <f t="shared" si="89"/>
        <v>83.33</v>
      </c>
      <c r="P88" s="218">
        <f t="shared" si="90"/>
        <v>96.96</v>
      </c>
      <c r="Q88" s="218">
        <f t="shared" si="91"/>
        <v>393</v>
      </c>
      <c r="R88" s="177">
        <f t="shared" si="99"/>
        <v>11688218</v>
      </c>
      <c r="S88" s="177">
        <f t="shared" si="100"/>
        <v>1289407</v>
      </c>
      <c r="T88" s="177">
        <f t="shared" si="101"/>
        <v>1500311</v>
      </c>
      <c r="U88" s="177">
        <f t="shared" ref="U88" si="114">ROUND($M88*Q88,0)</f>
        <v>6081086</v>
      </c>
      <c r="V88" s="177">
        <f t="shared" si="93"/>
        <v>0</v>
      </c>
      <c r="W88" s="177">
        <f t="shared" si="94"/>
        <v>20559022</v>
      </c>
      <c r="X88" s="177">
        <f t="shared" si="95"/>
        <v>885533</v>
      </c>
      <c r="Y88" s="178">
        <f t="shared" si="96"/>
        <v>4.5011487286266305E-2</v>
      </c>
      <c r="Z88" s="179">
        <f t="shared" si="97"/>
        <v>386.70000000000073</v>
      </c>
      <c r="AA88" s="180">
        <f t="shared" si="98"/>
        <v>2.5631678023172625E-2</v>
      </c>
    </row>
    <row r="89" spans="1:27" x14ac:dyDescent="0.55000000000000004">
      <c r="A89" s="229" t="s">
        <v>82</v>
      </c>
      <c r="B89" s="181">
        <f>INDEX(Data[FY2026 Budget Enrollment],MATCH(A89,Data[Label],0))+INDEX(Data[FY2026 ESA],MATCH(A89,Data[Label],0))</f>
        <v>1084.2</v>
      </c>
      <c r="C89" s="91">
        <f>INDEX(Data[FY2026 TSS],MATCH(A89,Data[Label],0))</f>
        <v>878.84</v>
      </c>
      <c r="D89" s="91">
        <f>INDEX(Data[FY2026 PD],MATCH(A89,Data[Label],0))</f>
        <v>76.180000000000007</v>
      </c>
      <c r="E89" s="91">
        <f>INDEX(Data[FY2026 Early Intervention],MATCH(A89,Data[Label],0))</f>
        <v>77.83</v>
      </c>
      <c r="F89" s="91">
        <f>INDEX(Data[FY2026 TLC],MATCH(A89,Data[Label],0))</f>
        <v>385.29</v>
      </c>
      <c r="G89" s="182">
        <f t="shared" si="83"/>
        <v>952838</v>
      </c>
      <c r="H89" s="182">
        <f t="shared" si="84"/>
        <v>82594</v>
      </c>
      <c r="I89" s="182">
        <f t="shared" si="85"/>
        <v>84383</v>
      </c>
      <c r="J89" s="182">
        <f t="shared" si="86"/>
        <v>417731</v>
      </c>
      <c r="K89" s="182">
        <f>INDEX(Data[FY2026 TSS Budget Guarantee],MATCH(A89,Data[Label],0))+INDEX(Data[FY2026 PD Budget Guarantee],MATCH(A89,Data[Label],0))+INDEX(Data[FY2026 Early Intervention Budget Guarantee],MATCH(A89,Data[Label],0))+INDEX(Data[FY2026 TLC Budget Gurantee],MATCH(A89,Data[Label],0))</f>
        <v>8823</v>
      </c>
      <c r="L89" s="182">
        <f t="shared" si="87"/>
        <v>1546369</v>
      </c>
      <c r="M89" s="181">
        <f>INDEX(Data[FY2027 Budget Enrollment],MATCH(A89,Data[Label],0))+INDEX(Data[FY2027 ESAs],MATCH(A89,Data[Label],0))</f>
        <v>1035.7</v>
      </c>
      <c r="N89" s="91">
        <f t="shared" si="88"/>
        <v>892.53000000000009</v>
      </c>
      <c r="O89" s="91">
        <f t="shared" si="89"/>
        <v>77.73</v>
      </c>
      <c r="P89" s="91">
        <f t="shared" si="90"/>
        <v>79.52</v>
      </c>
      <c r="Q89" s="91">
        <f t="shared" si="91"/>
        <v>393</v>
      </c>
      <c r="R89" s="182">
        <f t="shared" si="99"/>
        <v>924393</v>
      </c>
      <c r="S89" s="182">
        <f t="shared" si="100"/>
        <v>80505</v>
      </c>
      <c r="T89" s="182">
        <f t="shared" si="101"/>
        <v>82359</v>
      </c>
      <c r="U89" s="182">
        <f t="shared" ref="U89" si="115">ROUND($M89*Q89,)</f>
        <v>407030</v>
      </c>
      <c r="V89" s="182">
        <f t="shared" si="93"/>
        <v>43259</v>
      </c>
      <c r="W89" s="182">
        <f t="shared" si="94"/>
        <v>1537546</v>
      </c>
      <c r="X89" s="182">
        <f t="shared" si="95"/>
        <v>-8823</v>
      </c>
      <c r="Y89" s="183">
        <f t="shared" si="96"/>
        <v>-5.7056239487470323E-3</v>
      </c>
      <c r="Z89" s="184">
        <f t="shared" si="97"/>
        <v>-48.5</v>
      </c>
      <c r="AA89" s="185">
        <f t="shared" si="98"/>
        <v>-4.4733444014019554E-2</v>
      </c>
    </row>
    <row r="90" spans="1:27" x14ac:dyDescent="0.55000000000000004">
      <c r="A90" s="230" t="s">
        <v>83</v>
      </c>
      <c r="B90" s="176">
        <f>INDEX(Data[FY2026 Budget Enrollment],MATCH(A90,Data[Label],0))+INDEX(Data[FY2026 ESA],MATCH(A90,Data[Label],0))</f>
        <v>1571.4</v>
      </c>
      <c r="C90" s="218">
        <f>INDEX(Data[FY2026 TSS],MATCH(A90,Data[Label],0))</f>
        <v>953.54</v>
      </c>
      <c r="D90" s="218">
        <f>INDEX(Data[FY2026 PD],MATCH(A90,Data[Label],0))</f>
        <v>79.64</v>
      </c>
      <c r="E90" s="218">
        <f>INDEX(Data[FY2026 Early Intervention],MATCH(A90,Data[Label],0))</f>
        <v>78.430000000000007</v>
      </c>
      <c r="F90" s="218">
        <f>INDEX(Data[FY2026 TLC],MATCH(A90,Data[Label],0))</f>
        <v>385.29</v>
      </c>
      <c r="G90" s="177">
        <f t="shared" si="83"/>
        <v>1498393</v>
      </c>
      <c r="H90" s="177">
        <f t="shared" si="84"/>
        <v>125146</v>
      </c>
      <c r="I90" s="177">
        <f t="shared" si="85"/>
        <v>123245</v>
      </c>
      <c r="J90" s="177">
        <f t="shared" si="86"/>
        <v>605445</v>
      </c>
      <c r="K90" s="177">
        <f>INDEX(Data[FY2026 TSS Budget Guarantee],MATCH(A90,Data[Label],0))+INDEX(Data[FY2026 PD Budget Guarantee],MATCH(A90,Data[Label],0))+INDEX(Data[FY2026 Early Intervention Budget Guarantee],MATCH(A90,Data[Label],0))+INDEX(Data[FY2026 TLC Budget Gurantee],MATCH(A90,Data[Label],0))</f>
        <v>0</v>
      </c>
      <c r="L90" s="177">
        <f t="shared" si="87"/>
        <v>2352229</v>
      </c>
      <c r="M90" s="176">
        <f>INDEX(Data[FY2027 Budget Enrollment],MATCH(A90,Data[Label],0))+INDEX(Data[FY2027 ESAs],MATCH(A90,Data[Label],0))</f>
        <v>1607.9</v>
      </c>
      <c r="N90" s="218">
        <f t="shared" si="88"/>
        <v>967.23</v>
      </c>
      <c r="O90" s="218">
        <f t="shared" si="89"/>
        <v>81.19</v>
      </c>
      <c r="P90" s="218">
        <f t="shared" si="90"/>
        <v>80.12</v>
      </c>
      <c r="Q90" s="218">
        <f t="shared" si="91"/>
        <v>393</v>
      </c>
      <c r="R90" s="177">
        <f t="shared" si="99"/>
        <v>1555209</v>
      </c>
      <c r="S90" s="177">
        <f t="shared" si="100"/>
        <v>130545</v>
      </c>
      <c r="T90" s="177">
        <f t="shared" si="101"/>
        <v>128825</v>
      </c>
      <c r="U90" s="177">
        <f t="shared" ref="U90" si="116">ROUND($M90*Q90,0)</f>
        <v>631905</v>
      </c>
      <c r="V90" s="177">
        <f t="shared" si="93"/>
        <v>0</v>
      </c>
      <c r="W90" s="177">
        <f t="shared" si="94"/>
        <v>2446484</v>
      </c>
      <c r="X90" s="177">
        <f t="shared" si="95"/>
        <v>94255</v>
      </c>
      <c r="Y90" s="178">
        <f t="shared" si="96"/>
        <v>4.0070503339598315E-2</v>
      </c>
      <c r="Z90" s="179">
        <f t="shared" si="97"/>
        <v>36.5</v>
      </c>
      <c r="AA90" s="180">
        <f t="shared" si="98"/>
        <v>2.322769504900089E-2</v>
      </c>
    </row>
    <row r="91" spans="1:27" x14ac:dyDescent="0.55000000000000004">
      <c r="A91" s="229" t="s">
        <v>84</v>
      </c>
      <c r="B91" s="181">
        <f>INDEX(Data[FY2026 Budget Enrollment],MATCH(A91,Data[Label],0))+INDEX(Data[FY2026 ESA],MATCH(A91,Data[Label],0))</f>
        <v>172</v>
      </c>
      <c r="C91" s="91">
        <f>INDEX(Data[FY2026 TSS],MATCH(A91,Data[Label],0))</f>
        <v>1575.03</v>
      </c>
      <c r="D91" s="91">
        <f>INDEX(Data[FY2026 PD],MATCH(A91,Data[Label],0))</f>
        <v>53.98</v>
      </c>
      <c r="E91" s="91">
        <f>INDEX(Data[FY2026 Early Intervention],MATCH(A91,Data[Label],0))</f>
        <v>80.900000000000006</v>
      </c>
      <c r="F91" s="91">
        <f>INDEX(Data[FY2026 TLC],MATCH(A91,Data[Label],0))</f>
        <v>385.29</v>
      </c>
      <c r="G91" s="182">
        <f t="shared" si="83"/>
        <v>270905</v>
      </c>
      <c r="H91" s="182">
        <f t="shared" si="84"/>
        <v>9285</v>
      </c>
      <c r="I91" s="182">
        <f t="shared" si="85"/>
        <v>13915</v>
      </c>
      <c r="J91" s="182">
        <f t="shared" si="86"/>
        <v>66270</v>
      </c>
      <c r="K91" s="182">
        <f>INDEX(Data[FY2026 TSS Budget Guarantee],MATCH(A91,Data[Label],0))+INDEX(Data[FY2026 PD Budget Guarantee],MATCH(A91,Data[Label],0))+INDEX(Data[FY2026 Early Intervention Budget Guarantee],MATCH(A91,Data[Label],0))+INDEX(Data[FY2026 TLC Budget Gurantee],MATCH(A91,Data[Label],0))</f>
        <v>3757</v>
      </c>
      <c r="L91" s="182">
        <f t="shared" si="87"/>
        <v>364132</v>
      </c>
      <c r="M91" s="181">
        <f>INDEX(Data[FY2027 Budget Enrollment],MATCH(A91,Data[Label],0))+INDEX(Data[FY2027 ESAs],MATCH(A91,Data[Label],0))</f>
        <v>172</v>
      </c>
      <c r="N91" s="91">
        <f t="shared" si="88"/>
        <v>1588.72</v>
      </c>
      <c r="O91" s="91">
        <f t="shared" si="89"/>
        <v>55.529999999999994</v>
      </c>
      <c r="P91" s="91">
        <f t="shared" si="90"/>
        <v>82.59</v>
      </c>
      <c r="Q91" s="91">
        <f t="shared" si="91"/>
        <v>393</v>
      </c>
      <c r="R91" s="182">
        <f t="shared" si="99"/>
        <v>273260</v>
      </c>
      <c r="S91" s="182">
        <f t="shared" si="100"/>
        <v>9551</v>
      </c>
      <c r="T91" s="182">
        <f t="shared" si="101"/>
        <v>14205</v>
      </c>
      <c r="U91" s="182">
        <f t="shared" ref="U91" si="117">ROUND($M91*Q91,)</f>
        <v>67596</v>
      </c>
      <c r="V91" s="182">
        <f t="shared" si="93"/>
        <v>0</v>
      </c>
      <c r="W91" s="182">
        <f t="shared" si="94"/>
        <v>364612</v>
      </c>
      <c r="X91" s="182">
        <f t="shared" si="95"/>
        <v>480</v>
      </c>
      <c r="Y91" s="183">
        <f t="shared" si="96"/>
        <v>1.3182032889172059E-3</v>
      </c>
      <c r="Z91" s="184">
        <f t="shared" si="97"/>
        <v>0</v>
      </c>
      <c r="AA91" s="185">
        <f t="shared" si="98"/>
        <v>0</v>
      </c>
    </row>
    <row r="92" spans="1:27" x14ac:dyDescent="0.55000000000000004">
      <c r="A92" s="230" t="s">
        <v>85</v>
      </c>
      <c r="B92" s="176">
        <f>INDEX(Data[FY2026 Budget Enrollment],MATCH(A92,Data[Label],0))+INDEX(Data[FY2026 ESA],MATCH(A92,Data[Label],0))</f>
        <v>2112</v>
      </c>
      <c r="C92" s="218">
        <f>INDEX(Data[FY2026 TSS],MATCH(A92,Data[Label],0))</f>
        <v>754.74</v>
      </c>
      <c r="D92" s="218">
        <f>INDEX(Data[FY2026 PD],MATCH(A92,Data[Label],0))</f>
        <v>78.38</v>
      </c>
      <c r="E92" s="218">
        <f>INDEX(Data[FY2026 Early Intervention],MATCH(A92,Data[Label],0))</f>
        <v>94.2</v>
      </c>
      <c r="F92" s="218">
        <f>INDEX(Data[FY2026 TLC],MATCH(A92,Data[Label],0))</f>
        <v>385.29</v>
      </c>
      <c r="G92" s="177">
        <f t="shared" si="83"/>
        <v>1594011</v>
      </c>
      <c r="H92" s="177">
        <f t="shared" si="84"/>
        <v>165539</v>
      </c>
      <c r="I92" s="177">
        <f t="shared" si="85"/>
        <v>198950</v>
      </c>
      <c r="J92" s="177">
        <f t="shared" si="86"/>
        <v>813732</v>
      </c>
      <c r="K92" s="177">
        <f>INDEX(Data[FY2026 TSS Budget Guarantee],MATCH(A92,Data[Label],0))+INDEX(Data[FY2026 PD Budget Guarantee],MATCH(A92,Data[Label],0))+INDEX(Data[FY2026 Early Intervention Budget Guarantee],MATCH(A92,Data[Label],0))+INDEX(Data[FY2026 TLC Budget Gurantee],MATCH(A92,Data[Label],0))</f>
        <v>0</v>
      </c>
      <c r="L92" s="177">
        <f t="shared" si="87"/>
        <v>2772232</v>
      </c>
      <c r="M92" s="176">
        <f>INDEX(Data[FY2027 Budget Enrollment],MATCH(A92,Data[Label],0))+INDEX(Data[FY2027 ESAs],MATCH(A92,Data[Label],0))</f>
        <v>2088.4</v>
      </c>
      <c r="N92" s="218">
        <f t="shared" si="88"/>
        <v>768.43000000000006</v>
      </c>
      <c r="O92" s="218">
        <f t="shared" si="89"/>
        <v>79.929999999999993</v>
      </c>
      <c r="P92" s="218">
        <f t="shared" si="90"/>
        <v>95.89</v>
      </c>
      <c r="Q92" s="218">
        <f t="shared" si="91"/>
        <v>393</v>
      </c>
      <c r="R92" s="177">
        <f t="shared" si="99"/>
        <v>1604789</v>
      </c>
      <c r="S92" s="177">
        <f t="shared" si="100"/>
        <v>166926</v>
      </c>
      <c r="T92" s="177">
        <f t="shared" si="101"/>
        <v>200257</v>
      </c>
      <c r="U92" s="177">
        <f t="shared" ref="U92" si="118">ROUND($M92*Q92,0)</f>
        <v>820741</v>
      </c>
      <c r="V92" s="177">
        <f t="shared" si="93"/>
        <v>0</v>
      </c>
      <c r="W92" s="177">
        <f t="shared" si="94"/>
        <v>2792713</v>
      </c>
      <c r="X92" s="177">
        <f t="shared" si="95"/>
        <v>20481</v>
      </c>
      <c r="Y92" s="178">
        <f t="shared" si="96"/>
        <v>7.3879098141858253E-3</v>
      </c>
      <c r="Z92" s="179">
        <f t="shared" si="97"/>
        <v>-23.599999999999909</v>
      </c>
      <c r="AA92" s="180">
        <f t="shared" si="98"/>
        <v>-1.1174242424242382E-2</v>
      </c>
    </row>
    <row r="93" spans="1:27" x14ac:dyDescent="0.55000000000000004">
      <c r="A93" s="229" t="s">
        <v>86</v>
      </c>
      <c r="B93" s="181">
        <f>INDEX(Data[FY2026 Budget Enrollment],MATCH(A93,Data[Label],0))+INDEX(Data[FY2026 ESA],MATCH(A93,Data[Label],0))</f>
        <v>879.2</v>
      </c>
      <c r="C93" s="91">
        <f>INDEX(Data[FY2026 TSS],MATCH(A93,Data[Label],0))</f>
        <v>921.23</v>
      </c>
      <c r="D93" s="91">
        <f>INDEX(Data[FY2026 PD],MATCH(A93,Data[Label],0))</f>
        <v>67.31</v>
      </c>
      <c r="E93" s="91">
        <f>INDEX(Data[FY2026 Early Intervention],MATCH(A93,Data[Label],0))</f>
        <v>67.62</v>
      </c>
      <c r="F93" s="91">
        <f>INDEX(Data[FY2026 TLC],MATCH(A93,Data[Label],0))</f>
        <v>385.29</v>
      </c>
      <c r="G93" s="182">
        <f t="shared" si="83"/>
        <v>809945</v>
      </c>
      <c r="H93" s="182">
        <f t="shared" si="84"/>
        <v>59179</v>
      </c>
      <c r="I93" s="182">
        <f t="shared" si="85"/>
        <v>59452</v>
      </c>
      <c r="J93" s="182">
        <f t="shared" si="86"/>
        <v>338747</v>
      </c>
      <c r="K93" s="182">
        <f>INDEX(Data[FY2026 TSS Budget Guarantee],MATCH(A93,Data[Label],0))+INDEX(Data[FY2026 PD Budget Guarantee],MATCH(A93,Data[Label],0))+INDEX(Data[FY2026 Early Intervention Budget Guarantee],MATCH(A93,Data[Label],0))+INDEX(Data[FY2026 TLC Budget Gurantee],MATCH(A93,Data[Label],0))</f>
        <v>0</v>
      </c>
      <c r="L93" s="182">
        <f t="shared" si="87"/>
        <v>1267323</v>
      </c>
      <c r="M93" s="181">
        <f>INDEX(Data[FY2027 Budget Enrollment],MATCH(A93,Data[Label],0))+INDEX(Data[FY2027 ESAs],MATCH(A93,Data[Label],0))</f>
        <v>872.6</v>
      </c>
      <c r="N93" s="91">
        <f t="shared" si="88"/>
        <v>934.92000000000007</v>
      </c>
      <c r="O93" s="91">
        <f t="shared" si="89"/>
        <v>68.86</v>
      </c>
      <c r="P93" s="91">
        <f t="shared" si="90"/>
        <v>69.31</v>
      </c>
      <c r="Q93" s="91">
        <f t="shared" si="91"/>
        <v>393</v>
      </c>
      <c r="R93" s="182">
        <f t="shared" si="99"/>
        <v>815811</v>
      </c>
      <c r="S93" s="182">
        <f t="shared" si="100"/>
        <v>60087</v>
      </c>
      <c r="T93" s="182">
        <f t="shared" si="101"/>
        <v>60480</v>
      </c>
      <c r="U93" s="182">
        <f t="shared" ref="U93" si="119">ROUND($M93*Q93,)</f>
        <v>342932</v>
      </c>
      <c r="V93" s="182">
        <f t="shared" si="93"/>
        <v>0</v>
      </c>
      <c r="W93" s="182">
        <f t="shared" si="94"/>
        <v>1279310</v>
      </c>
      <c r="X93" s="182">
        <f t="shared" si="95"/>
        <v>11987</v>
      </c>
      <c r="Y93" s="183">
        <f t="shared" si="96"/>
        <v>9.4585200457973223E-3</v>
      </c>
      <c r="Z93" s="184">
        <f t="shared" si="97"/>
        <v>-6.6000000000000227</v>
      </c>
      <c r="AA93" s="185">
        <f t="shared" si="98"/>
        <v>-7.5068243858053031E-3</v>
      </c>
    </row>
    <row r="94" spans="1:27" x14ac:dyDescent="0.55000000000000004">
      <c r="A94" s="230" t="s">
        <v>87</v>
      </c>
      <c r="B94" s="176">
        <f>INDEX(Data[FY2026 Budget Enrollment],MATCH(A94,Data[Label],0))+INDEX(Data[FY2026 ESA],MATCH(A94,Data[Label],0))</f>
        <v>33078.300000000003</v>
      </c>
      <c r="C94" s="218">
        <f>INDEX(Data[FY2026 TSS],MATCH(A94,Data[Label],0))</f>
        <v>713.46</v>
      </c>
      <c r="D94" s="218">
        <f>INDEX(Data[FY2026 PD],MATCH(A94,Data[Label],0))</f>
        <v>87.57</v>
      </c>
      <c r="E94" s="218">
        <f>INDEX(Data[FY2026 Early Intervention],MATCH(A94,Data[Label],0))</f>
        <v>104.17</v>
      </c>
      <c r="F94" s="218">
        <f>INDEX(Data[FY2026 TLC],MATCH(A94,Data[Label],0))</f>
        <v>385.29</v>
      </c>
      <c r="G94" s="177">
        <f t="shared" si="83"/>
        <v>23600044</v>
      </c>
      <c r="H94" s="177">
        <f t="shared" si="84"/>
        <v>2896667</v>
      </c>
      <c r="I94" s="177">
        <f t="shared" si="85"/>
        <v>3445767</v>
      </c>
      <c r="J94" s="177">
        <f t="shared" si="86"/>
        <v>12744738</v>
      </c>
      <c r="K94" s="177">
        <f>INDEX(Data[FY2026 TSS Budget Guarantee],MATCH(A94,Data[Label],0))+INDEX(Data[FY2026 PD Budget Guarantee],MATCH(A94,Data[Label],0))+INDEX(Data[FY2026 Early Intervention Budget Guarantee],MATCH(A94,Data[Label],0))+INDEX(Data[FY2026 TLC Budget Gurantee],MATCH(A94,Data[Label],0))</f>
        <v>0</v>
      </c>
      <c r="L94" s="177">
        <f t="shared" si="87"/>
        <v>42687216</v>
      </c>
      <c r="M94" s="176">
        <f>INDEX(Data[FY2027 Budget Enrollment],MATCH(A94,Data[Label],0))+INDEX(Data[FY2027 ESAs],MATCH(A94,Data[Label],0))</f>
        <v>33280.699999999997</v>
      </c>
      <c r="N94" s="218">
        <f t="shared" si="88"/>
        <v>727.15000000000009</v>
      </c>
      <c r="O94" s="218">
        <f t="shared" si="89"/>
        <v>89.11999999999999</v>
      </c>
      <c r="P94" s="218">
        <f t="shared" si="90"/>
        <v>105.86</v>
      </c>
      <c r="Q94" s="218">
        <f t="shared" si="91"/>
        <v>393</v>
      </c>
      <c r="R94" s="177">
        <f t="shared" si="99"/>
        <v>24200061</v>
      </c>
      <c r="S94" s="177">
        <f t="shared" si="100"/>
        <v>2965976</v>
      </c>
      <c r="T94" s="177">
        <f t="shared" si="101"/>
        <v>3523095</v>
      </c>
      <c r="U94" s="177">
        <f t="shared" ref="U94" si="120">ROUND($M94*Q94,0)</f>
        <v>13079315</v>
      </c>
      <c r="V94" s="177">
        <f t="shared" si="93"/>
        <v>0</v>
      </c>
      <c r="W94" s="177">
        <f t="shared" si="94"/>
        <v>43768447</v>
      </c>
      <c r="X94" s="177">
        <f t="shared" si="95"/>
        <v>1081231</v>
      </c>
      <c r="Y94" s="178">
        <f t="shared" si="96"/>
        <v>2.5329152409470788E-2</v>
      </c>
      <c r="Z94" s="179">
        <f t="shared" si="97"/>
        <v>202.39999999999418</v>
      </c>
      <c r="AA94" s="180">
        <f t="shared" si="98"/>
        <v>6.1188150539778089E-3</v>
      </c>
    </row>
    <row r="95" spans="1:27" x14ac:dyDescent="0.55000000000000004">
      <c r="A95" s="229" t="s">
        <v>88</v>
      </c>
      <c r="B95" s="181">
        <f>INDEX(Data[FY2026 Budget Enrollment],MATCH(A95,Data[Label],0))+INDEX(Data[FY2026 ESA],MATCH(A95,Data[Label],0))</f>
        <v>90</v>
      </c>
      <c r="C95" s="91">
        <f>INDEX(Data[FY2026 TSS],MATCH(A95,Data[Label],0))</f>
        <v>3360.03</v>
      </c>
      <c r="D95" s="91">
        <f>INDEX(Data[FY2026 PD],MATCH(A95,Data[Label],0))</f>
        <v>106.22</v>
      </c>
      <c r="E95" s="91">
        <f>INDEX(Data[FY2026 Early Intervention],MATCH(A95,Data[Label],0))</f>
        <v>116.88</v>
      </c>
      <c r="F95" s="91">
        <f>INDEX(Data[FY2026 TLC],MATCH(A95,Data[Label],0))</f>
        <v>385.29</v>
      </c>
      <c r="G95" s="182">
        <f t="shared" si="83"/>
        <v>302403</v>
      </c>
      <c r="H95" s="182">
        <f t="shared" si="84"/>
        <v>9560</v>
      </c>
      <c r="I95" s="182">
        <f t="shared" si="85"/>
        <v>10519</v>
      </c>
      <c r="J95" s="182">
        <f t="shared" si="86"/>
        <v>34676</v>
      </c>
      <c r="K95" s="182">
        <f>INDEX(Data[FY2026 TSS Budget Guarantee],MATCH(A95,Data[Label],0))+INDEX(Data[FY2026 PD Budget Guarantee],MATCH(A95,Data[Label],0))+INDEX(Data[FY2026 Early Intervention Budget Guarantee],MATCH(A95,Data[Label],0))+INDEX(Data[FY2026 TLC Budget Gurantee],MATCH(A95,Data[Label],0))</f>
        <v>0</v>
      </c>
      <c r="L95" s="182">
        <f t="shared" si="87"/>
        <v>357158</v>
      </c>
      <c r="M95" s="181">
        <f>INDEX(Data[FY2027 Budget Enrollment],MATCH(A95,Data[Label],0))+INDEX(Data[FY2027 ESAs],MATCH(A95,Data[Label],0))</f>
        <v>97</v>
      </c>
      <c r="N95" s="91">
        <f t="shared" si="88"/>
        <v>3373.7200000000003</v>
      </c>
      <c r="O95" s="91">
        <f t="shared" si="89"/>
        <v>107.77</v>
      </c>
      <c r="P95" s="91">
        <f t="shared" si="90"/>
        <v>118.57</v>
      </c>
      <c r="Q95" s="91">
        <f t="shared" si="91"/>
        <v>393</v>
      </c>
      <c r="R95" s="182">
        <f t="shared" si="99"/>
        <v>327251</v>
      </c>
      <c r="S95" s="182">
        <f t="shared" si="100"/>
        <v>10454</v>
      </c>
      <c r="T95" s="182">
        <f t="shared" si="101"/>
        <v>11501</v>
      </c>
      <c r="U95" s="182">
        <f t="shared" ref="U95" si="121">ROUND($M95*Q95,)</f>
        <v>38121</v>
      </c>
      <c r="V95" s="182">
        <f t="shared" si="93"/>
        <v>0</v>
      </c>
      <c r="W95" s="182">
        <f t="shared" si="94"/>
        <v>387327</v>
      </c>
      <c r="X95" s="182">
        <f t="shared" si="95"/>
        <v>30169</v>
      </c>
      <c r="Y95" s="183">
        <f t="shared" si="96"/>
        <v>8.4469618488176107E-2</v>
      </c>
      <c r="Z95" s="184">
        <f t="shared" si="97"/>
        <v>7</v>
      </c>
      <c r="AA95" s="185">
        <f t="shared" si="98"/>
        <v>7.7777777777777779E-2</v>
      </c>
    </row>
    <row r="96" spans="1:27" x14ac:dyDescent="0.55000000000000004">
      <c r="A96" s="230" t="s">
        <v>89</v>
      </c>
      <c r="B96" s="176">
        <f>INDEX(Data[FY2026 Budget Enrollment],MATCH(A96,Data[Label],0))+INDEX(Data[FY2026 ESA],MATCH(A96,Data[Label],0))</f>
        <v>857.6</v>
      </c>
      <c r="C96" s="218">
        <f>INDEX(Data[FY2026 TSS],MATCH(A96,Data[Label],0))</f>
        <v>1006.39</v>
      </c>
      <c r="D96" s="218">
        <f>INDEX(Data[FY2026 PD],MATCH(A96,Data[Label],0))</f>
        <v>75.400000000000006</v>
      </c>
      <c r="E96" s="218">
        <f>INDEX(Data[FY2026 Early Intervention],MATCH(A96,Data[Label],0))</f>
        <v>73.150000000000006</v>
      </c>
      <c r="F96" s="218">
        <f>INDEX(Data[FY2026 TLC],MATCH(A96,Data[Label],0))</f>
        <v>385.29</v>
      </c>
      <c r="G96" s="177">
        <f t="shared" si="83"/>
        <v>863080</v>
      </c>
      <c r="H96" s="177">
        <f t="shared" si="84"/>
        <v>64663</v>
      </c>
      <c r="I96" s="177">
        <f t="shared" si="85"/>
        <v>62733</v>
      </c>
      <c r="J96" s="177">
        <f t="shared" si="86"/>
        <v>330425</v>
      </c>
      <c r="K96" s="177">
        <f>INDEX(Data[FY2026 TSS Budget Guarantee],MATCH(A96,Data[Label],0))+INDEX(Data[FY2026 PD Budget Guarantee],MATCH(A96,Data[Label],0))+INDEX(Data[FY2026 Early Intervention Budget Guarantee],MATCH(A96,Data[Label],0))+INDEX(Data[FY2026 TLC Budget Gurantee],MATCH(A96,Data[Label],0))</f>
        <v>1209</v>
      </c>
      <c r="L96" s="177">
        <f t="shared" si="87"/>
        <v>1322110</v>
      </c>
      <c r="M96" s="176">
        <f>INDEX(Data[FY2027 Budget Enrollment],MATCH(A96,Data[Label],0))+INDEX(Data[FY2027 ESAs],MATCH(A96,Data[Label],0))</f>
        <v>848.1</v>
      </c>
      <c r="N96" s="218">
        <f t="shared" si="88"/>
        <v>1020.08</v>
      </c>
      <c r="O96" s="218">
        <f t="shared" si="89"/>
        <v>76.95</v>
      </c>
      <c r="P96" s="218">
        <f t="shared" si="90"/>
        <v>74.84</v>
      </c>
      <c r="Q96" s="218">
        <f t="shared" si="91"/>
        <v>393</v>
      </c>
      <c r="R96" s="177">
        <f t="shared" si="99"/>
        <v>865130</v>
      </c>
      <c r="S96" s="177">
        <f t="shared" si="100"/>
        <v>65261</v>
      </c>
      <c r="T96" s="177">
        <f t="shared" si="101"/>
        <v>63472</v>
      </c>
      <c r="U96" s="177">
        <f t="shared" ref="U96" si="122">ROUND($M96*Q96,0)</f>
        <v>333303</v>
      </c>
      <c r="V96" s="177">
        <f t="shared" si="93"/>
        <v>0</v>
      </c>
      <c r="W96" s="177">
        <f t="shared" si="94"/>
        <v>1327166</v>
      </c>
      <c r="X96" s="177">
        <f t="shared" si="95"/>
        <v>5056</v>
      </c>
      <c r="Y96" s="178">
        <f t="shared" si="96"/>
        <v>3.8241901203379448E-3</v>
      </c>
      <c r="Z96" s="179">
        <f t="shared" si="97"/>
        <v>-9.5</v>
      </c>
      <c r="AA96" s="180">
        <f t="shared" si="98"/>
        <v>-1.1077425373134327E-2</v>
      </c>
    </row>
    <row r="97" spans="1:27" x14ac:dyDescent="0.55000000000000004">
      <c r="A97" s="229" t="s">
        <v>90</v>
      </c>
      <c r="B97" s="181">
        <f>INDEX(Data[FY2026 Budget Enrollment],MATCH(A97,Data[Label],0))+INDEX(Data[FY2026 ESA],MATCH(A97,Data[Label],0))</f>
        <v>11113.9</v>
      </c>
      <c r="C97" s="91">
        <f>INDEX(Data[FY2026 TSS],MATCH(A97,Data[Label],0))</f>
        <v>891.58</v>
      </c>
      <c r="D97" s="91">
        <f>INDEX(Data[FY2026 PD],MATCH(A97,Data[Label],0))</f>
        <v>83</v>
      </c>
      <c r="E97" s="91">
        <f>INDEX(Data[FY2026 Early Intervention],MATCH(A97,Data[Label],0))</f>
        <v>84.72</v>
      </c>
      <c r="F97" s="91">
        <f>INDEX(Data[FY2026 TLC],MATCH(A97,Data[Label],0))</f>
        <v>385.29</v>
      </c>
      <c r="G97" s="182">
        <f t="shared" si="83"/>
        <v>9908931</v>
      </c>
      <c r="H97" s="182">
        <f t="shared" si="84"/>
        <v>922454</v>
      </c>
      <c r="I97" s="182">
        <f t="shared" si="85"/>
        <v>941570</v>
      </c>
      <c r="J97" s="182">
        <f t="shared" si="86"/>
        <v>4282075</v>
      </c>
      <c r="K97" s="182">
        <f>INDEX(Data[FY2026 TSS Budget Guarantee],MATCH(A97,Data[Label],0))+INDEX(Data[FY2026 PD Budget Guarantee],MATCH(A97,Data[Label],0))+INDEX(Data[FY2026 Early Intervention Budget Guarantee],MATCH(A97,Data[Label],0))+INDEX(Data[FY2026 TLC Budget Gurantee],MATCH(A97,Data[Label],0))</f>
        <v>0</v>
      </c>
      <c r="L97" s="182">
        <f t="shared" si="87"/>
        <v>16055030</v>
      </c>
      <c r="M97" s="181">
        <f>INDEX(Data[FY2027 Budget Enrollment],MATCH(A97,Data[Label],0))+INDEX(Data[FY2027 ESAs],MATCH(A97,Data[Label],0))</f>
        <v>11635.7</v>
      </c>
      <c r="N97" s="91">
        <f t="shared" si="88"/>
        <v>905.2700000000001</v>
      </c>
      <c r="O97" s="91">
        <f t="shared" si="89"/>
        <v>84.55</v>
      </c>
      <c r="P97" s="91">
        <f t="shared" si="90"/>
        <v>86.41</v>
      </c>
      <c r="Q97" s="91">
        <f t="shared" si="91"/>
        <v>393</v>
      </c>
      <c r="R97" s="182">
        <f t="shared" si="99"/>
        <v>10533450</v>
      </c>
      <c r="S97" s="182">
        <f t="shared" si="100"/>
        <v>983798</v>
      </c>
      <c r="T97" s="182">
        <f t="shared" si="101"/>
        <v>1005441</v>
      </c>
      <c r="U97" s="182">
        <f t="shared" ref="U97" si="123">ROUND($M97*Q97,)</f>
        <v>4572830</v>
      </c>
      <c r="V97" s="182">
        <f t="shared" si="93"/>
        <v>0</v>
      </c>
      <c r="W97" s="182">
        <f t="shared" si="94"/>
        <v>17095519</v>
      </c>
      <c r="X97" s="182">
        <f t="shared" si="95"/>
        <v>1040489</v>
      </c>
      <c r="Y97" s="183">
        <f t="shared" si="96"/>
        <v>6.4807664638434181E-2</v>
      </c>
      <c r="Z97" s="184">
        <f t="shared" si="97"/>
        <v>521.80000000000109</v>
      </c>
      <c r="AA97" s="185">
        <f t="shared" si="98"/>
        <v>4.6950215495910629E-2</v>
      </c>
    </row>
    <row r="98" spans="1:27" x14ac:dyDescent="0.55000000000000004">
      <c r="A98" s="230" t="s">
        <v>91</v>
      </c>
      <c r="B98" s="176">
        <f>INDEX(Data[FY2026 Budget Enrollment],MATCH(A98,Data[Label],0))+INDEX(Data[FY2026 ESA],MATCH(A98,Data[Label],0))</f>
        <v>356.5</v>
      </c>
      <c r="C98" s="218">
        <f>INDEX(Data[FY2026 TSS],MATCH(A98,Data[Label],0))</f>
        <v>1418.35</v>
      </c>
      <c r="D98" s="218">
        <f>INDEX(Data[FY2026 PD],MATCH(A98,Data[Label],0))</f>
        <v>75.39</v>
      </c>
      <c r="E98" s="218">
        <f>INDEX(Data[FY2026 Early Intervention],MATCH(A98,Data[Label],0))</f>
        <v>81.23</v>
      </c>
      <c r="F98" s="218">
        <f>INDEX(Data[FY2026 TLC],MATCH(A98,Data[Label],0))</f>
        <v>385.29</v>
      </c>
      <c r="G98" s="177">
        <f t="shared" si="83"/>
        <v>505642</v>
      </c>
      <c r="H98" s="177">
        <f t="shared" si="84"/>
        <v>26877</v>
      </c>
      <c r="I98" s="177">
        <f t="shared" si="85"/>
        <v>28958</v>
      </c>
      <c r="J98" s="177">
        <f t="shared" si="86"/>
        <v>137356</v>
      </c>
      <c r="K98" s="177">
        <f>INDEX(Data[FY2026 TSS Budget Guarantee],MATCH(A98,Data[Label],0))+INDEX(Data[FY2026 PD Budget Guarantee],MATCH(A98,Data[Label],0))+INDEX(Data[FY2026 Early Intervention Budget Guarantee],MATCH(A98,Data[Label],0))+INDEX(Data[FY2026 TLC Budget Gurantee],MATCH(A98,Data[Label],0))</f>
        <v>902</v>
      </c>
      <c r="L98" s="177">
        <f t="shared" si="87"/>
        <v>699735</v>
      </c>
      <c r="M98" s="176">
        <f>INDEX(Data[FY2027 Budget Enrollment],MATCH(A98,Data[Label],0))+INDEX(Data[FY2027 ESAs],MATCH(A98,Data[Label],0))</f>
        <v>350.4</v>
      </c>
      <c r="N98" s="218">
        <f t="shared" si="88"/>
        <v>1432.04</v>
      </c>
      <c r="O98" s="218">
        <f t="shared" si="89"/>
        <v>76.94</v>
      </c>
      <c r="P98" s="218">
        <f t="shared" si="90"/>
        <v>82.92</v>
      </c>
      <c r="Q98" s="218">
        <f t="shared" si="91"/>
        <v>393</v>
      </c>
      <c r="R98" s="177">
        <f t="shared" si="99"/>
        <v>501787</v>
      </c>
      <c r="S98" s="177">
        <f t="shared" si="100"/>
        <v>26960</v>
      </c>
      <c r="T98" s="177">
        <f t="shared" si="101"/>
        <v>29055</v>
      </c>
      <c r="U98" s="177">
        <f t="shared" ref="U98" si="124">ROUND($M98*Q98,0)</f>
        <v>137707</v>
      </c>
      <c r="V98" s="177">
        <f t="shared" si="93"/>
        <v>3855</v>
      </c>
      <c r="W98" s="177">
        <f t="shared" si="94"/>
        <v>699364</v>
      </c>
      <c r="X98" s="177">
        <f t="shared" si="95"/>
        <v>-371</v>
      </c>
      <c r="Y98" s="178">
        <f t="shared" si="96"/>
        <v>-5.3020071884356224E-4</v>
      </c>
      <c r="Z98" s="179">
        <f t="shared" si="97"/>
        <v>-6.1000000000000227</v>
      </c>
      <c r="AA98" s="180">
        <f t="shared" si="98"/>
        <v>-1.7110799438990246E-2</v>
      </c>
    </row>
    <row r="99" spans="1:27" x14ac:dyDescent="0.55000000000000004">
      <c r="A99" s="229" t="s">
        <v>92</v>
      </c>
      <c r="B99" s="181">
        <f>INDEX(Data[FY2026 Budget Enrollment],MATCH(A99,Data[Label],0))+INDEX(Data[FY2026 ESA],MATCH(A99,Data[Label],0))</f>
        <v>473.7</v>
      </c>
      <c r="C99" s="91">
        <f>INDEX(Data[FY2026 TSS],MATCH(A99,Data[Label],0))</f>
        <v>1036.19</v>
      </c>
      <c r="D99" s="91">
        <f>INDEX(Data[FY2026 PD],MATCH(A99,Data[Label],0))</f>
        <v>89.11</v>
      </c>
      <c r="E99" s="91">
        <f>INDEX(Data[FY2026 Early Intervention],MATCH(A99,Data[Label],0))</f>
        <v>75.150000000000006</v>
      </c>
      <c r="F99" s="91">
        <f>INDEX(Data[FY2026 TLC],MATCH(A99,Data[Label],0))</f>
        <v>385.29</v>
      </c>
      <c r="G99" s="182">
        <f t="shared" si="83"/>
        <v>490843</v>
      </c>
      <c r="H99" s="182">
        <f t="shared" si="84"/>
        <v>42211</v>
      </c>
      <c r="I99" s="182">
        <f t="shared" si="85"/>
        <v>35599</v>
      </c>
      <c r="J99" s="182">
        <f t="shared" si="86"/>
        <v>182512</v>
      </c>
      <c r="K99" s="182">
        <f>INDEX(Data[FY2026 TSS Budget Guarantee],MATCH(A99,Data[Label],0))+INDEX(Data[FY2026 PD Budget Guarantee],MATCH(A99,Data[Label],0))+INDEX(Data[FY2026 Early Intervention Budget Guarantee],MATCH(A99,Data[Label],0))+INDEX(Data[FY2026 TLC Budget Gurantee],MATCH(A99,Data[Label],0))</f>
        <v>5478</v>
      </c>
      <c r="L99" s="182">
        <f t="shared" si="87"/>
        <v>756643</v>
      </c>
      <c r="M99" s="181">
        <f>INDEX(Data[FY2027 Budget Enrollment],MATCH(A99,Data[Label],0))+INDEX(Data[FY2027 ESAs],MATCH(A99,Data[Label],0))</f>
        <v>450.7</v>
      </c>
      <c r="N99" s="91">
        <f t="shared" si="88"/>
        <v>1049.8800000000001</v>
      </c>
      <c r="O99" s="91">
        <f t="shared" si="89"/>
        <v>90.66</v>
      </c>
      <c r="P99" s="91">
        <f t="shared" si="90"/>
        <v>76.84</v>
      </c>
      <c r="Q99" s="91">
        <f t="shared" si="91"/>
        <v>393</v>
      </c>
      <c r="R99" s="182">
        <f t="shared" si="99"/>
        <v>473181</v>
      </c>
      <c r="S99" s="182">
        <f t="shared" si="100"/>
        <v>40860</v>
      </c>
      <c r="T99" s="182">
        <f t="shared" si="101"/>
        <v>34632</v>
      </c>
      <c r="U99" s="182">
        <f t="shared" ref="U99" si="125">ROUND($M99*Q99,)</f>
        <v>177125</v>
      </c>
      <c r="V99" s="182">
        <f t="shared" si="93"/>
        <v>25367</v>
      </c>
      <c r="W99" s="182">
        <f t="shared" si="94"/>
        <v>751165</v>
      </c>
      <c r="X99" s="182">
        <f t="shared" si="95"/>
        <v>-5478</v>
      </c>
      <c r="Y99" s="183">
        <f t="shared" si="96"/>
        <v>-7.2398740224914526E-3</v>
      </c>
      <c r="Z99" s="184">
        <f t="shared" si="97"/>
        <v>-23</v>
      </c>
      <c r="AA99" s="185">
        <f t="shared" si="98"/>
        <v>-4.8553937090985856E-2</v>
      </c>
    </row>
    <row r="100" spans="1:27" x14ac:dyDescent="0.55000000000000004">
      <c r="A100" s="230" t="s">
        <v>93</v>
      </c>
      <c r="B100" s="176">
        <f>INDEX(Data[FY2026 Budget Enrollment],MATCH(A100,Data[Label],0))+INDEX(Data[FY2026 ESA],MATCH(A100,Data[Label],0))</f>
        <v>979.1</v>
      </c>
      <c r="C100" s="218">
        <f>INDEX(Data[FY2026 TSS],MATCH(A100,Data[Label],0))</f>
        <v>1146.52</v>
      </c>
      <c r="D100" s="218">
        <f>INDEX(Data[FY2026 PD],MATCH(A100,Data[Label],0))</f>
        <v>76.95</v>
      </c>
      <c r="E100" s="218">
        <f>INDEX(Data[FY2026 Early Intervention],MATCH(A100,Data[Label],0))</f>
        <v>86.25</v>
      </c>
      <c r="F100" s="218">
        <f>INDEX(Data[FY2026 TLC],MATCH(A100,Data[Label],0))</f>
        <v>385.29</v>
      </c>
      <c r="G100" s="177">
        <f t="shared" si="83"/>
        <v>1122558</v>
      </c>
      <c r="H100" s="177">
        <f t="shared" si="84"/>
        <v>75342</v>
      </c>
      <c r="I100" s="177">
        <f t="shared" si="85"/>
        <v>84447</v>
      </c>
      <c r="J100" s="177">
        <f t="shared" si="86"/>
        <v>377237</v>
      </c>
      <c r="K100" s="177">
        <f>INDEX(Data[FY2026 TSS Budget Guarantee],MATCH(A100,Data[Label],0))+INDEX(Data[FY2026 PD Budget Guarantee],MATCH(A100,Data[Label],0))+INDEX(Data[FY2026 Early Intervention Budget Guarantee],MATCH(A100,Data[Label],0))+INDEX(Data[FY2026 TLC Budget Gurantee],MATCH(A100,Data[Label],0))</f>
        <v>0</v>
      </c>
      <c r="L100" s="177">
        <f t="shared" si="87"/>
        <v>1659584</v>
      </c>
      <c r="M100" s="176">
        <f>INDEX(Data[FY2027 Budget Enrollment],MATCH(A100,Data[Label],0))+INDEX(Data[FY2027 ESAs],MATCH(A100,Data[Label],0))</f>
        <v>922.7</v>
      </c>
      <c r="N100" s="218">
        <f t="shared" si="88"/>
        <v>1160.21</v>
      </c>
      <c r="O100" s="218">
        <f t="shared" si="89"/>
        <v>78.5</v>
      </c>
      <c r="P100" s="218">
        <f t="shared" si="90"/>
        <v>87.94</v>
      </c>
      <c r="Q100" s="218">
        <f t="shared" si="91"/>
        <v>393</v>
      </c>
      <c r="R100" s="177">
        <f t="shared" si="99"/>
        <v>1070526</v>
      </c>
      <c r="S100" s="177">
        <f t="shared" si="100"/>
        <v>72432</v>
      </c>
      <c r="T100" s="177">
        <f t="shared" si="101"/>
        <v>81142</v>
      </c>
      <c r="U100" s="177">
        <f t="shared" ref="U100" si="126">ROUND($M100*Q100,0)</f>
        <v>362621</v>
      </c>
      <c r="V100" s="177">
        <f t="shared" si="93"/>
        <v>72863</v>
      </c>
      <c r="W100" s="177">
        <f t="shared" si="94"/>
        <v>1659584</v>
      </c>
      <c r="X100" s="177">
        <f t="shared" si="95"/>
        <v>0</v>
      </c>
      <c r="Y100" s="178">
        <f t="shared" si="96"/>
        <v>0</v>
      </c>
      <c r="Z100" s="179">
        <f t="shared" si="97"/>
        <v>-56.399999999999977</v>
      </c>
      <c r="AA100" s="180">
        <f t="shared" si="98"/>
        <v>-5.7603921969155321E-2</v>
      </c>
    </row>
    <row r="101" spans="1:27" x14ac:dyDescent="0.55000000000000004">
      <c r="A101" s="229" t="s">
        <v>94</v>
      </c>
      <c r="B101" s="181">
        <f>INDEX(Data[FY2026 Budget Enrollment],MATCH(A101,Data[Label],0))+INDEX(Data[FY2026 ESA],MATCH(A101,Data[Label],0))</f>
        <v>575.79999999999995</v>
      </c>
      <c r="C101" s="91">
        <f>INDEX(Data[FY2026 TSS],MATCH(A101,Data[Label],0))</f>
        <v>1478.34</v>
      </c>
      <c r="D101" s="91">
        <f>INDEX(Data[FY2026 PD],MATCH(A101,Data[Label],0))</f>
        <v>73.989999999999995</v>
      </c>
      <c r="E101" s="91">
        <f>INDEX(Data[FY2026 Early Intervention],MATCH(A101,Data[Label],0))</f>
        <v>83.5</v>
      </c>
      <c r="F101" s="91">
        <f>INDEX(Data[FY2026 TLC],MATCH(A101,Data[Label],0))</f>
        <v>385.29</v>
      </c>
      <c r="G101" s="182">
        <f t="shared" si="83"/>
        <v>851228</v>
      </c>
      <c r="H101" s="182">
        <f t="shared" si="84"/>
        <v>42603</v>
      </c>
      <c r="I101" s="182">
        <f t="shared" si="85"/>
        <v>48079</v>
      </c>
      <c r="J101" s="182">
        <f t="shared" si="86"/>
        <v>221850</v>
      </c>
      <c r="K101" s="182">
        <f>INDEX(Data[FY2026 TSS Budget Guarantee],MATCH(A101,Data[Label],0))+INDEX(Data[FY2026 PD Budget Guarantee],MATCH(A101,Data[Label],0))+INDEX(Data[FY2026 Early Intervention Budget Guarantee],MATCH(A101,Data[Label],0))+INDEX(Data[FY2026 TLC Budget Gurantee],MATCH(A101,Data[Label],0))</f>
        <v>0</v>
      </c>
      <c r="L101" s="182">
        <f t="shared" si="87"/>
        <v>1163760</v>
      </c>
      <c r="M101" s="181">
        <f>INDEX(Data[FY2027 Budget Enrollment],MATCH(A101,Data[Label],0))+INDEX(Data[FY2027 ESAs],MATCH(A101,Data[Label],0))</f>
        <v>582.4</v>
      </c>
      <c r="N101" s="91">
        <f t="shared" si="88"/>
        <v>1492.03</v>
      </c>
      <c r="O101" s="91">
        <f t="shared" si="89"/>
        <v>75.539999999999992</v>
      </c>
      <c r="P101" s="91">
        <f t="shared" si="90"/>
        <v>85.19</v>
      </c>
      <c r="Q101" s="91">
        <f t="shared" si="91"/>
        <v>393</v>
      </c>
      <c r="R101" s="182">
        <f t="shared" si="99"/>
        <v>868958</v>
      </c>
      <c r="S101" s="182">
        <f t="shared" si="100"/>
        <v>43994</v>
      </c>
      <c r="T101" s="182">
        <f t="shared" si="101"/>
        <v>49615</v>
      </c>
      <c r="U101" s="182">
        <f t="shared" ref="U101" si="127">ROUND($M101*Q101,)</f>
        <v>228883</v>
      </c>
      <c r="V101" s="182">
        <f t="shared" si="93"/>
        <v>0</v>
      </c>
      <c r="W101" s="182">
        <f t="shared" si="94"/>
        <v>1191450</v>
      </c>
      <c r="X101" s="182">
        <f t="shared" si="95"/>
        <v>27690</v>
      </c>
      <c r="Y101" s="183">
        <f t="shared" si="96"/>
        <v>2.3793565683646111E-2</v>
      </c>
      <c r="Z101" s="184">
        <f t="shared" si="97"/>
        <v>6.6000000000000227</v>
      </c>
      <c r="AA101" s="185">
        <f t="shared" si="98"/>
        <v>1.1462313303230328E-2</v>
      </c>
    </row>
    <row r="102" spans="1:27" x14ac:dyDescent="0.55000000000000004">
      <c r="A102" s="230" t="s">
        <v>95</v>
      </c>
      <c r="B102" s="176">
        <f>INDEX(Data[FY2026 Budget Enrollment],MATCH(A102,Data[Label],0))+INDEX(Data[FY2026 ESA],MATCH(A102,Data[Label],0))</f>
        <v>514.20000000000005</v>
      </c>
      <c r="C102" s="218">
        <f>INDEX(Data[FY2026 TSS],MATCH(A102,Data[Label],0))</f>
        <v>1059.29</v>
      </c>
      <c r="D102" s="218">
        <f>INDEX(Data[FY2026 PD],MATCH(A102,Data[Label],0))</f>
        <v>75.86</v>
      </c>
      <c r="E102" s="218">
        <f>INDEX(Data[FY2026 Early Intervention],MATCH(A102,Data[Label],0))</f>
        <v>80.180000000000007</v>
      </c>
      <c r="F102" s="218">
        <f>INDEX(Data[FY2026 TLC],MATCH(A102,Data[Label],0))</f>
        <v>385.29</v>
      </c>
      <c r="G102" s="177">
        <f t="shared" si="83"/>
        <v>544687</v>
      </c>
      <c r="H102" s="177">
        <f t="shared" si="84"/>
        <v>39007</v>
      </c>
      <c r="I102" s="177">
        <f t="shared" si="85"/>
        <v>41229</v>
      </c>
      <c r="J102" s="177">
        <f t="shared" si="86"/>
        <v>198116</v>
      </c>
      <c r="K102" s="177">
        <f>INDEX(Data[FY2026 TSS Budget Guarantee],MATCH(A102,Data[Label],0))+INDEX(Data[FY2026 PD Budget Guarantee],MATCH(A102,Data[Label],0))+INDEX(Data[FY2026 Early Intervention Budget Guarantee],MATCH(A102,Data[Label],0))+INDEX(Data[FY2026 TLC Budget Gurantee],MATCH(A102,Data[Label],0))</f>
        <v>5784</v>
      </c>
      <c r="L102" s="177">
        <f t="shared" si="87"/>
        <v>828823</v>
      </c>
      <c r="M102" s="176">
        <f>INDEX(Data[FY2027 Budget Enrollment],MATCH(A102,Data[Label],0))+INDEX(Data[FY2027 ESAs],MATCH(A102,Data[Label],0))</f>
        <v>495.9</v>
      </c>
      <c r="N102" s="218">
        <f t="shared" si="88"/>
        <v>1072.98</v>
      </c>
      <c r="O102" s="218">
        <f t="shared" si="89"/>
        <v>77.41</v>
      </c>
      <c r="P102" s="218">
        <f t="shared" si="90"/>
        <v>81.87</v>
      </c>
      <c r="Q102" s="218">
        <f t="shared" si="91"/>
        <v>393</v>
      </c>
      <c r="R102" s="177">
        <f t="shared" si="99"/>
        <v>532091</v>
      </c>
      <c r="S102" s="177">
        <f t="shared" si="100"/>
        <v>38388</v>
      </c>
      <c r="T102" s="177">
        <f t="shared" si="101"/>
        <v>40599</v>
      </c>
      <c r="U102" s="177">
        <f t="shared" ref="U102" si="128">ROUND($M102*Q102,0)</f>
        <v>194889</v>
      </c>
      <c r="V102" s="177">
        <f t="shared" si="93"/>
        <v>17072</v>
      </c>
      <c r="W102" s="177">
        <f t="shared" si="94"/>
        <v>823039</v>
      </c>
      <c r="X102" s="177">
        <f t="shared" si="95"/>
        <v>-5784</v>
      </c>
      <c r="Y102" s="178">
        <f t="shared" si="96"/>
        <v>-6.9785708166882439E-3</v>
      </c>
      <c r="Z102" s="179">
        <f t="shared" si="97"/>
        <v>-18.300000000000068</v>
      </c>
      <c r="AA102" s="180">
        <f t="shared" si="98"/>
        <v>-3.5589264877479709E-2</v>
      </c>
    </row>
    <row r="103" spans="1:27" x14ac:dyDescent="0.55000000000000004">
      <c r="A103" s="229" t="s">
        <v>96</v>
      </c>
      <c r="B103" s="181">
        <f>INDEX(Data[FY2026 Budget Enrollment],MATCH(A103,Data[Label],0))+INDEX(Data[FY2026 ESA],MATCH(A103,Data[Label],0))</f>
        <v>502.2</v>
      </c>
      <c r="C103" s="91">
        <f>INDEX(Data[FY2026 TSS],MATCH(A103,Data[Label],0))</f>
        <v>1415.17</v>
      </c>
      <c r="D103" s="91">
        <f>INDEX(Data[FY2026 PD],MATCH(A103,Data[Label],0))</f>
        <v>83.3</v>
      </c>
      <c r="E103" s="91">
        <f>INDEX(Data[FY2026 Early Intervention],MATCH(A103,Data[Label],0))</f>
        <v>84.85</v>
      </c>
      <c r="F103" s="91">
        <f>INDEX(Data[FY2026 TLC],MATCH(A103,Data[Label],0))</f>
        <v>385.29</v>
      </c>
      <c r="G103" s="182">
        <f t="shared" si="83"/>
        <v>710698</v>
      </c>
      <c r="H103" s="182">
        <f t="shared" si="84"/>
        <v>41833</v>
      </c>
      <c r="I103" s="182">
        <f t="shared" si="85"/>
        <v>42612</v>
      </c>
      <c r="J103" s="182">
        <f t="shared" si="86"/>
        <v>193493</v>
      </c>
      <c r="K103" s="182">
        <f>INDEX(Data[FY2026 TSS Budget Guarantee],MATCH(A103,Data[Label],0))+INDEX(Data[FY2026 PD Budget Guarantee],MATCH(A103,Data[Label],0))+INDEX(Data[FY2026 Early Intervention Budget Guarantee],MATCH(A103,Data[Label],0))+INDEX(Data[FY2026 TLC Budget Gurantee],MATCH(A103,Data[Label],0))</f>
        <v>3457</v>
      </c>
      <c r="L103" s="182">
        <f t="shared" si="87"/>
        <v>992093</v>
      </c>
      <c r="M103" s="181">
        <f>INDEX(Data[FY2027 Budget Enrollment],MATCH(A103,Data[Label],0))+INDEX(Data[FY2027 ESAs],MATCH(A103,Data[Label],0))</f>
        <v>503.2</v>
      </c>
      <c r="N103" s="91">
        <f t="shared" si="88"/>
        <v>1428.8600000000001</v>
      </c>
      <c r="O103" s="91">
        <f t="shared" si="89"/>
        <v>84.85</v>
      </c>
      <c r="P103" s="91">
        <f t="shared" si="90"/>
        <v>86.539999999999992</v>
      </c>
      <c r="Q103" s="91">
        <f t="shared" si="91"/>
        <v>393</v>
      </c>
      <c r="R103" s="182">
        <f t="shared" si="99"/>
        <v>719002</v>
      </c>
      <c r="S103" s="182">
        <f t="shared" si="100"/>
        <v>42697</v>
      </c>
      <c r="T103" s="182">
        <f t="shared" si="101"/>
        <v>43547</v>
      </c>
      <c r="U103" s="182">
        <f t="shared" ref="U103" si="129">ROUND($M103*Q103,)</f>
        <v>197758</v>
      </c>
      <c r="V103" s="182">
        <f t="shared" si="93"/>
        <v>0</v>
      </c>
      <c r="W103" s="182">
        <f t="shared" si="94"/>
        <v>1003004</v>
      </c>
      <c r="X103" s="182">
        <f t="shared" si="95"/>
        <v>10911</v>
      </c>
      <c r="Y103" s="183">
        <f t="shared" si="96"/>
        <v>1.0997960876651685E-2</v>
      </c>
      <c r="Z103" s="184">
        <f t="shared" si="97"/>
        <v>1</v>
      </c>
      <c r="AA103" s="185">
        <f t="shared" si="98"/>
        <v>1.9912385503783356E-3</v>
      </c>
    </row>
    <row r="104" spans="1:27" x14ac:dyDescent="0.55000000000000004">
      <c r="A104" s="230" t="s">
        <v>97</v>
      </c>
      <c r="B104" s="176">
        <f>INDEX(Data[FY2026 Budget Enrollment],MATCH(A104,Data[Label],0))+INDEX(Data[FY2026 ESA],MATCH(A104,Data[Label],0))</f>
        <v>554</v>
      </c>
      <c r="C104" s="218">
        <f>INDEX(Data[FY2026 TSS],MATCH(A104,Data[Label],0))</f>
        <v>1206.6400000000001</v>
      </c>
      <c r="D104" s="218">
        <f>INDEX(Data[FY2026 PD],MATCH(A104,Data[Label],0))</f>
        <v>82.6</v>
      </c>
      <c r="E104" s="218">
        <f>INDEX(Data[FY2026 Early Intervention],MATCH(A104,Data[Label],0))</f>
        <v>76.62</v>
      </c>
      <c r="F104" s="218">
        <f>INDEX(Data[FY2026 TLC],MATCH(A104,Data[Label],0))</f>
        <v>385.29</v>
      </c>
      <c r="G104" s="177">
        <f t="shared" si="83"/>
        <v>668479</v>
      </c>
      <c r="H104" s="177">
        <f t="shared" si="84"/>
        <v>45760</v>
      </c>
      <c r="I104" s="177">
        <f t="shared" si="85"/>
        <v>42447</v>
      </c>
      <c r="J104" s="177">
        <f t="shared" si="86"/>
        <v>213451</v>
      </c>
      <c r="K104" s="177">
        <f>INDEX(Data[FY2026 TSS Budget Guarantee],MATCH(A104,Data[Label],0))+INDEX(Data[FY2026 PD Budget Guarantee],MATCH(A104,Data[Label],0))+INDEX(Data[FY2026 Early Intervention Budget Guarantee],MATCH(A104,Data[Label],0))+INDEX(Data[FY2026 TLC Budget Gurantee],MATCH(A104,Data[Label],0))</f>
        <v>0</v>
      </c>
      <c r="L104" s="177">
        <f t="shared" si="87"/>
        <v>970137</v>
      </c>
      <c r="M104" s="176">
        <f>INDEX(Data[FY2027 Budget Enrollment],MATCH(A104,Data[Label],0))+INDEX(Data[FY2027 ESAs],MATCH(A104,Data[Label],0))</f>
        <v>532</v>
      </c>
      <c r="N104" s="218">
        <f t="shared" si="88"/>
        <v>1220.3300000000002</v>
      </c>
      <c r="O104" s="218">
        <f t="shared" si="89"/>
        <v>84.149999999999991</v>
      </c>
      <c r="P104" s="218">
        <f t="shared" si="90"/>
        <v>78.31</v>
      </c>
      <c r="Q104" s="218">
        <f t="shared" si="91"/>
        <v>393</v>
      </c>
      <c r="R104" s="177">
        <f t="shared" si="99"/>
        <v>649216</v>
      </c>
      <c r="S104" s="177">
        <f t="shared" si="100"/>
        <v>44768</v>
      </c>
      <c r="T104" s="177">
        <f t="shared" si="101"/>
        <v>41661</v>
      </c>
      <c r="U104" s="177">
        <f t="shared" ref="U104" si="130">ROUND($M104*Q104,0)</f>
        <v>209076</v>
      </c>
      <c r="V104" s="177">
        <f t="shared" si="93"/>
        <v>25416</v>
      </c>
      <c r="W104" s="177">
        <f t="shared" si="94"/>
        <v>970137</v>
      </c>
      <c r="X104" s="177">
        <f t="shared" si="95"/>
        <v>0</v>
      </c>
      <c r="Y104" s="178">
        <f t="shared" si="96"/>
        <v>0</v>
      </c>
      <c r="Z104" s="179">
        <f t="shared" si="97"/>
        <v>-22</v>
      </c>
      <c r="AA104" s="180">
        <f t="shared" si="98"/>
        <v>-3.9711191335740074E-2</v>
      </c>
    </row>
    <row r="105" spans="1:27" x14ac:dyDescent="0.55000000000000004">
      <c r="A105" s="229" t="s">
        <v>98</v>
      </c>
      <c r="B105" s="181">
        <f>INDEX(Data[FY2026 Budget Enrollment],MATCH(A105,Data[Label],0))+INDEX(Data[FY2026 ESA],MATCH(A105,Data[Label],0))</f>
        <v>847</v>
      </c>
      <c r="C105" s="91">
        <f>INDEX(Data[FY2026 TSS],MATCH(A105,Data[Label],0))</f>
        <v>1067</v>
      </c>
      <c r="D105" s="91">
        <f>INDEX(Data[FY2026 PD],MATCH(A105,Data[Label],0))</f>
        <v>77.260000000000005</v>
      </c>
      <c r="E105" s="91">
        <f>INDEX(Data[FY2026 Early Intervention],MATCH(A105,Data[Label],0))</f>
        <v>83.88</v>
      </c>
      <c r="F105" s="91">
        <f>INDEX(Data[FY2026 TLC],MATCH(A105,Data[Label],0))</f>
        <v>385.29</v>
      </c>
      <c r="G105" s="182">
        <f t="shared" si="83"/>
        <v>903749</v>
      </c>
      <c r="H105" s="182">
        <f t="shared" si="84"/>
        <v>65439</v>
      </c>
      <c r="I105" s="182">
        <f t="shared" si="85"/>
        <v>71046</v>
      </c>
      <c r="J105" s="182">
        <f t="shared" si="86"/>
        <v>326341</v>
      </c>
      <c r="K105" s="182">
        <f>INDEX(Data[FY2026 TSS Budget Guarantee],MATCH(A105,Data[Label],0))+INDEX(Data[FY2026 PD Budget Guarantee],MATCH(A105,Data[Label],0))+INDEX(Data[FY2026 Early Intervention Budget Guarantee],MATCH(A105,Data[Label],0))+INDEX(Data[FY2026 TLC Budget Gurantee],MATCH(A105,Data[Label],0))</f>
        <v>0</v>
      </c>
      <c r="L105" s="182">
        <f t="shared" si="87"/>
        <v>1366575</v>
      </c>
      <c r="M105" s="181">
        <f>INDEX(Data[FY2027 Budget Enrollment],MATCH(A105,Data[Label],0))+INDEX(Data[FY2027 ESAs],MATCH(A105,Data[Label],0))</f>
        <v>841.1</v>
      </c>
      <c r="N105" s="91">
        <f t="shared" si="88"/>
        <v>1080.69</v>
      </c>
      <c r="O105" s="91">
        <f t="shared" si="89"/>
        <v>78.81</v>
      </c>
      <c r="P105" s="91">
        <f t="shared" si="90"/>
        <v>85.57</v>
      </c>
      <c r="Q105" s="91">
        <f t="shared" si="91"/>
        <v>393</v>
      </c>
      <c r="R105" s="182">
        <f t="shared" si="99"/>
        <v>908968</v>
      </c>
      <c r="S105" s="182">
        <f t="shared" si="100"/>
        <v>66287</v>
      </c>
      <c r="T105" s="182">
        <f t="shared" si="101"/>
        <v>71973</v>
      </c>
      <c r="U105" s="182">
        <f t="shared" ref="U105" si="131">ROUND($M105*Q105,)</f>
        <v>330552</v>
      </c>
      <c r="V105" s="182">
        <f t="shared" si="93"/>
        <v>0</v>
      </c>
      <c r="W105" s="182">
        <f t="shared" si="94"/>
        <v>1377780</v>
      </c>
      <c r="X105" s="182">
        <f t="shared" si="95"/>
        <v>11205</v>
      </c>
      <c r="Y105" s="183">
        <f t="shared" si="96"/>
        <v>8.19933044289556E-3</v>
      </c>
      <c r="Z105" s="184">
        <f t="shared" si="97"/>
        <v>-5.8999999999999773</v>
      </c>
      <c r="AA105" s="185">
        <f t="shared" si="98"/>
        <v>-6.9657615112160296E-3</v>
      </c>
    </row>
    <row r="106" spans="1:27" x14ac:dyDescent="0.55000000000000004">
      <c r="A106" s="230" t="s">
        <v>99</v>
      </c>
      <c r="B106" s="176">
        <f>INDEX(Data[FY2026 Budget Enrollment],MATCH(A106,Data[Label],0))+INDEX(Data[FY2026 ESA],MATCH(A106,Data[Label],0))</f>
        <v>458</v>
      </c>
      <c r="C106" s="218">
        <f>INDEX(Data[FY2026 TSS],MATCH(A106,Data[Label],0))</f>
        <v>1485.61</v>
      </c>
      <c r="D106" s="218">
        <f>INDEX(Data[FY2026 PD],MATCH(A106,Data[Label],0))</f>
        <v>70.14</v>
      </c>
      <c r="E106" s="218">
        <f>INDEX(Data[FY2026 Early Intervention],MATCH(A106,Data[Label],0))</f>
        <v>85.51</v>
      </c>
      <c r="F106" s="218">
        <f>INDEX(Data[FY2026 TLC],MATCH(A106,Data[Label],0))</f>
        <v>385.29</v>
      </c>
      <c r="G106" s="177">
        <f t="shared" si="83"/>
        <v>680409</v>
      </c>
      <c r="H106" s="177">
        <f t="shared" si="84"/>
        <v>32124</v>
      </c>
      <c r="I106" s="177">
        <f t="shared" si="85"/>
        <v>39164</v>
      </c>
      <c r="J106" s="177">
        <f t="shared" si="86"/>
        <v>176463</v>
      </c>
      <c r="K106" s="177">
        <f>INDEX(Data[FY2026 TSS Budget Guarantee],MATCH(A106,Data[Label],0))+INDEX(Data[FY2026 PD Budget Guarantee],MATCH(A106,Data[Label],0))+INDEX(Data[FY2026 Early Intervention Budget Guarantee],MATCH(A106,Data[Label],0))+INDEX(Data[FY2026 TLC Budget Gurantee],MATCH(A106,Data[Label],0))</f>
        <v>0</v>
      </c>
      <c r="L106" s="177">
        <f t="shared" si="87"/>
        <v>928160</v>
      </c>
      <c r="M106" s="176">
        <f>INDEX(Data[FY2027 Budget Enrollment],MATCH(A106,Data[Label],0))+INDEX(Data[FY2027 ESAs],MATCH(A106,Data[Label],0))</f>
        <v>460.8</v>
      </c>
      <c r="N106" s="218">
        <f t="shared" si="88"/>
        <v>1499.3</v>
      </c>
      <c r="O106" s="218">
        <f t="shared" si="89"/>
        <v>71.69</v>
      </c>
      <c r="P106" s="218">
        <f t="shared" si="90"/>
        <v>87.2</v>
      </c>
      <c r="Q106" s="218">
        <f t="shared" si="91"/>
        <v>393</v>
      </c>
      <c r="R106" s="177">
        <f t="shared" si="99"/>
        <v>690877</v>
      </c>
      <c r="S106" s="177">
        <f t="shared" si="100"/>
        <v>33035</v>
      </c>
      <c r="T106" s="177">
        <f t="shared" si="101"/>
        <v>40182</v>
      </c>
      <c r="U106" s="177">
        <f t="shared" ref="U106" si="132">ROUND($M106*Q106,0)</f>
        <v>181094</v>
      </c>
      <c r="V106" s="177">
        <f t="shared" si="93"/>
        <v>0</v>
      </c>
      <c r="W106" s="177">
        <f t="shared" si="94"/>
        <v>945188</v>
      </c>
      <c r="X106" s="177">
        <f t="shared" si="95"/>
        <v>17028</v>
      </c>
      <c r="Y106" s="178">
        <f t="shared" si="96"/>
        <v>1.8345974831925529E-2</v>
      </c>
      <c r="Z106" s="179">
        <f t="shared" si="97"/>
        <v>2.8000000000000114</v>
      </c>
      <c r="AA106" s="180">
        <f t="shared" si="98"/>
        <v>6.1135371179039553E-3</v>
      </c>
    </row>
    <row r="107" spans="1:27" x14ac:dyDescent="0.55000000000000004">
      <c r="A107" s="229" t="s">
        <v>100</v>
      </c>
      <c r="B107" s="181">
        <f>INDEX(Data[FY2026 Budget Enrollment],MATCH(A107,Data[Label],0))+INDEX(Data[FY2026 ESA],MATCH(A107,Data[Label],0))</f>
        <v>317</v>
      </c>
      <c r="C107" s="91">
        <f>INDEX(Data[FY2026 TSS],MATCH(A107,Data[Label],0))</f>
        <v>1861.6</v>
      </c>
      <c r="D107" s="91">
        <f>INDEX(Data[FY2026 PD],MATCH(A107,Data[Label],0))</f>
        <v>74</v>
      </c>
      <c r="E107" s="91">
        <f>INDEX(Data[FY2026 Early Intervention],MATCH(A107,Data[Label],0))</f>
        <v>88.46</v>
      </c>
      <c r="F107" s="91">
        <f>INDEX(Data[FY2026 TLC],MATCH(A107,Data[Label],0))</f>
        <v>385.29</v>
      </c>
      <c r="G107" s="182">
        <f t="shared" si="83"/>
        <v>590127</v>
      </c>
      <c r="H107" s="182">
        <f t="shared" si="84"/>
        <v>23458</v>
      </c>
      <c r="I107" s="182">
        <f t="shared" si="85"/>
        <v>28042</v>
      </c>
      <c r="J107" s="182">
        <f t="shared" si="86"/>
        <v>122137</v>
      </c>
      <c r="K107" s="182">
        <f>INDEX(Data[FY2026 TSS Budget Guarantee],MATCH(A107,Data[Label],0))+INDEX(Data[FY2026 PD Budget Guarantee],MATCH(A107,Data[Label],0))+INDEX(Data[FY2026 Early Intervention Budget Guarantee],MATCH(A107,Data[Label],0))+INDEX(Data[FY2026 TLC Budget Gurantee],MATCH(A107,Data[Label],0))</f>
        <v>0</v>
      </c>
      <c r="L107" s="182">
        <f t="shared" si="87"/>
        <v>763764</v>
      </c>
      <c r="M107" s="181">
        <f>INDEX(Data[FY2027 Budget Enrollment],MATCH(A107,Data[Label],0))+INDEX(Data[FY2027 ESAs],MATCH(A107,Data[Label],0))</f>
        <v>312</v>
      </c>
      <c r="N107" s="91">
        <f t="shared" si="88"/>
        <v>1875.29</v>
      </c>
      <c r="O107" s="91">
        <f t="shared" si="89"/>
        <v>75.55</v>
      </c>
      <c r="P107" s="91">
        <f t="shared" si="90"/>
        <v>90.149999999999991</v>
      </c>
      <c r="Q107" s="91">
        <f t="shared" si="91"/>
        <v>393</v>
      </c>
      <c r="R107" s="182">
        <f t="shared" si="99"/>
        <v>585090</v>
      </c>
      <c r="S107" s="182">
        <f t="shared" si="100"/>
        <v>23572</v>
      </c>
      <c r="T107" s="182">
        <f t="shared" si="101"/>
        <v>28127</v>
      </c>
      <c r="U107" s="182">
        <f t="shared" ref="U107" si="133">ROUND($M107*Q107,)</f>
        <v>122616</v>
      </c>
      <c r="V107" s="182">
        <f t="shared" si="93"/>
        <v>5037</v>
      </c>
      <c r="W107" s="182">
        <f t="shared" si="94"/>
        <v>764442</v>
      </c>
      <c r="X107" s="182">
        <f t="shared" si="95"/>
        <v>678</v>
      </c>
      <c r="Y107" s="183">
        <f t="shared" si="96"/>
        <v>8.8770876867723533E-4</v>
      </c>
      <c r="Z107" s="184">
        <f t="shared" si="97"/>
        <v>-5</v>
      </c>
      <c r="AA107" s="185">
        <f t="shared" si="98"/>
        <v>-1.5772870662460567E-2</v>
      </c>
    </row>
    <row r="108" spans="1:27" x14ac:dyDescent="0.55000000000000004">
      <c r="A108" s="230" t="s">
        <v>101</v>
      </c>
      <c r="B108" s="176">
        <f>INDEX(Data[FY2026 Budget Enrollment],MATCH(A108,Data[Label],0))+INDEX(Data[FY2026 ESA],MATCH(A108,Data[Label],0))</f>
        <v>534.6</v>
      </c>
      <c r="C108" s="218">
        <f>INDEX(Data[FY2026 TSS],MATCH(A108,Data[Label],0))</f>
        <v>1621.25</v>
      </c>
      <c r="D108" s="218">
        <f>INDEX(Data[FY2026 PD],MATCH(A108,Data[Label],0))</f>
        <v>76.73</v>
      </c>
      <c r="E108" s="218">
        <f>INDEX(Data[FY2026 Early Intervention],MATCH(A108,Data[Label],0))</f>
        <v>73.069999999999993</v>
      </c>
      <c r="F108" s="218">
        <f>INDEX(Data[FY2026 TLC],MATCH(A108,Data[Label],0))</f>
        <v>385.29</v>
      </c>
      <c r="G108" s="177">
        <f t="shared" si="83"/>
        <v>866720</v>
      </c>
      <c r="H108" s="177">
        <f t="shared" si="84"/>
        <v>41020</v>
      </c>
      <c r="I108" s="177">
        <f t="shared" si="85"/>
        <v>39063</v>
      </c>
      <c r="J108" s="177">
        <f t="shared" si="86"/>
        <v>205976</v>
      </c>
      <c r="K108" s="177">
        <f>INDEX(Data[FY2026 TSS Budget Guarantee],MATCH(A108,Data[Label],0))+INDEX(Data[FY2026 PD Budget Guarantee],MATCH(A108,Data[Label],0))+INDEX(Data[FY2026 Early Intervention Budget Guarantee],MATCH(A108,Data[Label],0))+INDEX(Data[FY2026 TLC Budget Gurantee],MATCH(A108,Data[Label],0))</f>
        <v>5118</v>
      </c>
      <c r="L108" s="177">
        <f t="shared" si="87"/>
        <v>1157897</v>
      </c>
      <c r="M108" s="176">
        <f>INDEX(Data[FY2027 Budget Enrollment],MATCH(A108,Data[Label],0))+INDEX(Data[FY2027 ESAs],MATCH(A108,Data[Label],0))</f>
        <v>524.1</v>
      </c>
      <c r="N108" s="218">
        <f t="shared" si="88"/>
        <v>1634.94</v>
      </c>
      <c r="O108" s="218">
        <f t="shared" si="89"/>
        <v>78.28</v>
      </c>
      <c r="P108" s="218">
        <f t="shared" si="90"/>
        <v>74.759999999999991</v>
      </c>
      <c r="Q108" s="218">
        <f t="shared" si="91"/>
        <v>393</v>
      </c>
      <c r="R108" s="177">
        <f t="shared" si="99"/>
        <v>856872</v>
      </c>
      <c r="S108" s="177">
        <f t="shared" si="100"/>
        <v>41027</v>
      </c>
      <c r="T108" s="177">
        <f t="shared" si="101"/>
        <v>39182</v>
      </c>
      <c r="U108" s="177">
        <f t="shared" ref="U108" si="134">ROUND($M108*Q108,0)</f>
        <v>205971</v>
      </c>
      <c r="V108" s="177">
        <f t="shared" si="93"/>
        <v>9853</v>
      </c>
      <c r="W108" s="177">
        <f t="shared" si="94"/>
        <v>1152905</v>
      </c>
      <c r="X108" s="177">
        <f t="shared" si="95"/>
        <v>-4992</v>
      </c>
      <c r="Y108" s="178">
        <f t="shared" si="96"/>
        <v>-4.3112643007106851E-3</v>
      </c>
      <c r="Z108" s="179">
        <f t="shared" si="97"/>
        <v>-10.5</v>
      </c>
      <c r="AA108" s="180">
        <f t="shared" si="98"/>
        <v>-1.9640852974186308E-2</v>
      </c>
    </row>
    <row r="109" spans="1:27" x14ac:dyDescent="0.55000000000000004">
      <c r="A109" s="229" t="s">
        <v>102</v>
      </c>
      <c r="B109" s="181">
        <f>INDEX(Data[FY2026 Budget Enrollment],MATCH(A109,Data[Label],0))+INDEX(Data[FY2026 ESA],MATCH(A109,Data[Label],0))</f>
        <v>804.1</v>
      </c>
      <c r="C109" s="91">
        <f>INDEX(Data[FY2026 TSS],MATCH(A109,Data[Label],0))</f>
        <v>1389.15</v>
      </c>
      <c r="D109" s="91">
        <f>INDEX(Data[FY2026 PD],MATCH(A109,Data[Label],0))</f>
        <v>74.69</v>
      </c>
      <c r="E109" s="91">
        <f>INDEX(Data[FY2026 Early Intervention],MATCH(A109,Data[Label],0))</f>
        <v>89.52</v>
      </c>
      <c r="F109" s="91">
        <f>INDEX(Data[FY2026 TLC],MATCH(A109,Data[Label],0))</f>
        <v>385.29</v>
      </c>
      <c r="G109" s="182">
        <f t="shared" si="83"/>
        <v>1117016</v>
      </c>
      <c r="H109" s="182">
        <f t="shared" si="84"/>
        <v>60058</v>
      </c>
      <c r="I109" s="182">
        <f t="shared" si="85"/>
        <v>71983</v>
      </c>
      <c r="J109" s="182">
        <f t="shared" si="86"/>
        <v>309812</v>
      </c>
      <c r="K109" s="182">
        <f>INDEX(Data[FY2026 TSS Budget Guarantee],MATCH(A109,Data[Label],0))+INDEX(Data[FY2026 PD Budget Guarantee],MATCH(A109,Data[Label],0))+INDEX(Data[FY2026 Early Intervention Budget Guarantee],MATCH(A109,Data[Label],0))+INDEX(Data[FY2026 TLC Budget Gurantee],MATCH(A109,Data[Label],0))</f>
        <v>0</v>
      </c>
      <c r="L109" s="182">
        <f t="shared" si="87"/>
        <v>1558869</v>
      </c>
      <c r="M109" s="181">
        <f>INDEX(Data[FY2027 Budget Enrollment],MATCH(A109,Data[Label],0))+INDEX(Data[FY2027 ESAs],MATCH(A109,Data[Label],0))</f>
        <v>802.2</v>
      </c>
      <c r="N109" s="91">
        <f t="shared" si="88"/>
        <v>1402.8400000000001</v>
      </c>
      <c r="O109" s="91">
        <f t="shared" si="89"/>
        <v>76.239999999999995</v>
      </c>
      <c r="P109" s="91">
        <f t="shared" si="90"/>
        <v>91.21</v>
      </c>
      <c r="Q109" s="91">
        <f t="shared" si="91"/>
        <v>393</v>
      </c>
      <c r="R109" s="182">
        <f t="shared" si="99"/>
        <v>1125358</v>
      </c>
      <c r="S109" s="182">
        <f t="shared" si="100"/>
        <v>61160</v>
      </c>
      <c r="T109" s="182">
        <f t="shared" si="101"/>
        <v>73169</v>
      </c>
      <c r="U109" s="182">
        <f t="shared" ref="U109" si="135">ROUND($M109*Q109,)</f>
        <v>315265</v>
      </c>
      <c r="V109" s="182">
        <f t="shared" si="93"/>
        <v>0</v>
      </c>
      <c r="W109" s="182">
        <f t="shared" si="94"/>
        <v>1574952</v>
      </c>
      <c r="X109" s="182">
        <f t="shared" si="95"/>
        <v>16083</v>
      </c>
      <c r="Y109" s="183">
        <f t="shared" si="96"/>
        <v>1.0317095278692437E-2</v>
      </c>
      <c r="Z109" s="184">
        <f t="shared" si="97"/>
        <v>-1.8999999999999773</v>
      </c>
      <c r="AA109" s="185">
        <f t="shared" si="98"/>
        <v>-2.3628901877875601E-3</v>
      </c>
    </row>
    <row r="110" spans="1:27" x14ac:dyDescent="0.55000000000000004">
      <c r="A110" s="230" t="s">
        <v>103</v>
      </c>
      <c r="B110" s="176">
        <f>INDEX(Data[FY2026 Budget Enrollment],MATCH(A110,Data[Label],0))+INDEX(Data[FY2026 ESA],MATCH(A110,Data[Label],0))</f>
        <v>396</v>
      </c>
      <c r="C110" s="218">
        <f>INDEX(Data[FY2026 TSS],MATCH(A110,Data[Label],0))</f>
        <v>1741.67</v>
      </c>
      <c r="D110" s="218">
        <f>INDEX(Data[FY2026 PD],MATCH(A110,Data[Label],0))</f>
        <v>82.84</v>
      </c>
      <c r="E110" s="218">
        <f>INDEX(Data[FY2026 Early Intervention],MATCH(A110,Data[Label],0))</f>
        <v>89.11</v>
      </c>
      <c r="F110" s="218">
        <f>INDEX(Data[FY2026 TLC],MATCH(A110,Data[Label],0))</f>
        <v>385.29</v>
      </c>
      <c r="G110" s="177">
        <f t="shared" si="83"/>
        <v>689701</v>
      </c>
      <c r="H110" s="177">
        <f t="shared" si="84"/>
        <v>32805</v>
      </c>
      <c r="I110" s="177">
        <f t="shared" si="85"/>
        <v>35288</v>
      </c>
      <c r="J110" s="177">
        <f t="shared" si="86"/>
        <v>152575</v>
      </c>
      <c r="K110" s="177">
        <f>INDEX(Data[FY2026 TSS Budget Guarantee],MATCH(A110,Data[Label],0))+INDEX(Data[FY2026 PD Budget Guarantee],MATCH(A110,Data[Label],0))+INDEX(Data[FY2026 Early Intervention Budget Guarantee],MATCH(A110,Data[Label],0))+INDEX(Data[FY2026 TLC Budget Gurantee],MATCH(A110,Data[Label],0))</f>
        <v>0</v>
      </c>
      <c r="L110" s="177">
        <f t="shared" si="87"/>
        <v>910369</v>
      </c>
      <c r="M110" s="176">
        <f>INDEX(Data[FY2027 Budget Enrollment],MATCH(A110,Data[Label],0))+INDEX(Data[FY2027 ESAs],MATCH(A110,Data[Label],0))</f>
        <v>399</v>
      </c>
      <c r="N110" s="218">
        <f t="shared" si="88"/>
        <v>1755.3600000000001</v>
      </c>
      <c r="O110" s="218">
        <f t="shared" si="89"/>
        <v>84.39</v>
      </c>
      <c r="P110" s="218">
        <f t="shared" si="90"/>
        <v>90.8</v>
      </c>
      <c r="Q110" s="218">
        <f t="shared" si="91"/>
        <v>393</v>
      </c>
      <c r="R110" s="177">
        <f t="shared" si="99"/>
        <v>700389</v>
      </c>
      <c r="S110" s="177">
        <f t="shared" si="100"/>
        <v>33672</v>
      </c>
      <c r="T110" s="177">
        <f t="shared" si="101"/>
        <v>36229</v>
      </c>
      <c r="U110" s="177">
        <f t="shared" ref="U110" si="136">ROUND($M110*Q110,0)</f>
        <v>156807</v>
      </c>
      <c r="V110" s="177">
        <f t="shared" si="93"/>
        <v>0</v>
      </c>
      <c r="W110" s="177">
        <f t="shared" si="94"/>
        <v>927097</v>
      </c>
      <c r="X110" s="177">
        <f t="shared" si="95"/>
        <v>16728</v>
      </c>
      <c r="Y110" s="178">
        <f t="shared" si="96"/>
        <v>1.8374966634408685E-2</v>
      </c>
      <c r="Z110" s="179">
        <f t="shared" si="97"/>
        <v>3</v>
      </c>
      <c r="AA110" s="180">
        <f t="shared" si="98"/>
        <v>7.575757575757576E-3</v>
      </c>
    </row>
    <row r="111" spans="1:27" x14ac:dyDescent="0.55000000000000004">
      <c r="A111" s="229" t="s">
        <v>104</v>
      </c>
      <c r="B111" s="181">
        <f>INDEX(Data[FY2026 Budget Enrollment],MATCH(A111,Data[Label],0))+INDEX(Data[FY2026 ESA],MATCH(A111,Data[Label],0))</f>
        <v>538.79999999999995</v>
      </c>
      <c r="C111" s="91">
        <f>INDEX(Data[FY2026 TSS],MATCH(A111,Data[Label],0))</f>
        <v>992.59</v>
      </c>
      <c r="D111" s="91">
        <f>INDEX(Data[FY2026 PD],MATCH(A111,Data[Label],0))</f>
        <v>82.73</v>
      </c>
      <c r="E111" s="91">
        <f>INDEX(Data[FY2026 Early Intervention],MATCH(A111,Data[Label],0))</f>
        <v>83.32</v>
      </c>
      <c r="F111" s="91">
        <f>INDEX(Data[FY2026 TLC],MATCH(A111,Data[Label],0))</f>
        <v>385.29</v>
      </c>
      <c r="G111" s="182">
        <f t="shared" si="83"/>
        <v>534807</v>
      </c>
      <c r="H111" s="182">
        <f t="shared" si="84"/>
        <v>44575</v>
      </c>
      <c r="I111" s="182">
        <f t="shared" si="85"/>
        <v>44893</v>
      </c>
      <c r="J111" s="182">
        <f t="shared" si="86"/>
        <v>207594</v>
      </c>
      <c r="K111" s="182">
        <f>INDEX(Data[FY2026 TSS Budget Guarantee],MATCH(A111,Data[Label],0))+INDEX(Data[FY2026 PD Budget Guarantee],MATCH(A111,Data[Label],0))+INDEX(Data[FY2026 Early Intervention Budget Guarantee],MATCH(A111,Data[Label],0))+INDEX(Data[FY2026 TLC Budget Gurantee],MATCH(A111,Data[Label],0))</f>
        <v>0</v>
      </c>
      <c r="L111" s="182">
        <f t="shared" si="87"/>
        <v>831869</v>
      </c>
      <c r="M111" s="181">
        <f>INDEX(Data[FY2027 Budget Enrollment],MATCH(A111,Data[Label],0))+INDEX(Data[FY2027 ESAs],MATCH(A111,Data[Label],0))</f>
        <v>522.70000000000005</v>
      </c>
      <c r="N111" s="91">
        <f t="shared" si="88"/>
        <v>1006.2800000000001</v>
      </c>
      <c r="O111" s="91">
        <f t="shared" si="89"/>
        <v>84.28</v>
      </c>
      <c r="P111" s="91">
        <f t="shared" si="90"/>
        <v>85.009999999999991</v>
      </c>
      <c r="Q111" s="91">
        <f t="shared" si="91"/>
        <v>393</v>
      </c>
      <c r="R111" s="182">
        <f t="shared" si="99"/>
        <v>525983</v>
      </c>
      <c r="S111" s="182">
        <f t="shared" si="100"/>
        <v>44053</v>
      </c>
      <c r="T111" s="182">
        <f t="shared" si="101"/>
        <v>44435</v>
      </c>
      <c r="U111" s="182">
        <f t="shared" ref="U111" si="137">ROUND($M111*Q111,)</f>
        <v>205421</v>
      </c>
      <c r="V111" s="182">
        <f t="shared" si="93"/>
        <v>11977</v>
      </c>
      <c r="W111" s="182">
        <f t="shared" si="94"/>
        <v>831869</v>
      </c>
      <c r="X111" s="182">
        <f t="shared" si="95"/>
        <v>0</v>
      </c>
      <c r="Y111" s="183">
        <f t="shared" si="96"/>
        <v>0</v>
      </c>
      <c r="Z111" s="184">
        <f t="shared" si="97"/>
        <v>-16.099999999999909</v>
      </c>
      <c r="AA111" s="185">
        <f t="shared" si="98"/>
        <v>-2.9881217520415573E-2</v>
      </c>
    </row>
    <row r="112" spans="1:27" x14ac:dyDescent="0.55000000000000004">
      <c r="A112" s="230" t="s">
        <v>105</v>
      </c>
      <c r="B112" s="176">
        <f>INDEX(Data[FY2026 Budget Enrollment],MATCH(A112,Data[Label],0))+INDEX(Data[FY2026 ESA],MATCH(A112,Data[Label],0))</f>
        <v>671.6</v>
      </c>
      <c r="C112" s="218">
        <f>INDEX(Data[FY2026 TSS],MATCH(A112,Data[Label],0))</f>
        <v>986.35</v>
      </c>
      <c r="D112" s="218">
        <f>INDEX(Data[FY2026 PD],MATCH(A112,Data[Label],0))</f>
        <v>79.72</v>
      </c>
      <c r="E112" s="218">
        <f>INDEX(Data[FY2026 Early Intervention],MATCH(A112,Data[Label],0))</f>
        <v>82.47</v>
      </c>
      <c r="F112" s="218">
        <f>INDEX(Data[FY2026 TLC],MATCH(A112,Data[Label],0))</f>
        <v>385.29</v>
      </c>
      <c r="G112" s="177">
        <f t="shared" si="83"/>
        <v>662433</v>
      </c>
      <c r="H112" s="177">
        <f t="shared" si="84"/>
        <v>53540</v>
      </c>
      <c r="I112" s="177">
        <f t="shared" si="85"/>
        <v>55387</v>
      </c>
      <c r="J112" s="177">
        <f t="shared" si="86"/>
        <v>258761</v>
      </c>
      <c r="K112" s="177">
        <f>INDEX(Data[FY2026 TSS Budget Guarantee],MATCH(A112,Data[Label],0))+INDEX(Data[FY2026 PD Budget Guarantee],MATCH(A112,Data[Label],0))+INDEX(Data[FY2026 Early Intervention Budget Guarantee],MATCH(A112,Data[Label],0))+INDEX(Data[FY2026 TLC Budget Gurantee],MATCH(A112,Data[Label],0))</f>
        <v>1221</v>
      </c>
      <c r="L112" s="177">
        <f t="shared" si="87"/>
        <v>1031342</v>
      </c>
      <c r="M112" s="176">
        <f>INDEX(Data[FY2027 Budget Enrollment],MATCH(A112,Data[Label],0))+INDEX(Data[FY2027 ESAs],MATCH(A112,Data[Label],0))</f>
        <v>667.7</v>
      </c>
      <c r="N112" s="218">
        <f t="shared" si="88"/>
        <v>1000.0400000000001</v>
      </c>
      <c r="O112" s="218">
        <f t="shared" si="89"/>
        <v>81.27</v>
      </c>
      <c r="P112" s="218">
        <f t="shared" si="90"/>
        <v>84.16</v>
      </c>
      <c r="Q112" s="218">
        <f t="shared" si="91"/>
        <v>393</v>
      </c>
      <c r="R112" s="177">
        <f t="shared" si="99"/>
        <v>667727</v>
      </c>
      <c r="S112" s="177">
        <f t="shared" si="100"/>
        <v>54264</v>
      </c>
      <c r="T112" s="177">
        <f t="shared" si="101"/>
        <v>56194</v>
      </c>
      <c r="U112" s="177">
        <f t="shared" ref="U112" si="138">ROUND($M112*Q112,0)</f>
        <v>262406</v>
      </c>
      <c r="V112" s="177">
        <f t="shared" si="93"/>
        <v>0</v>
      </c>
      <c r="W112" s="177">
        <f t="shared" si="94"/>
        <v>1040591</v>
      </c>
      <c r="X112" s="177">
        <f t="shared" si="95"/>
        <v>9249</v>
      </c>
      <c r="Y112" s="178">
        <f t="shared" si="96"/>
        <v>8.9679272249166622E-3</v>
      </c>
      <c r="Z112" s="179">
        <f t="shared" si="97"/>
        <v>-3.8999999999999773</v>
      </c>
      <c r="AA112" s="180">
        <f t="shared" si="98"/>
        <v>-5.8070279928528548E-3</v>
      </c>
    </row>
    <row r="113" spans="1:27" x14ac:dyDescent="0.55000000000000004">
      <c r="A113" s="229" t="s">
        <v>106</v>
      </c>
      <c r="B113" s="181">
        <f>INDEX(Data[FY2026 Budget Enrollment],MATCH(A113,Data[Label],0))+INDEX(Data[FY2026 ESA],MATCH(A113,Data[Label],0))</f>
        <v>449.4</v>
      </c>
      <c r="C113" s="91">
        <f>INDEX(Data[FY2026 TSS],MATCH(A113,Data[Label],0))</f>
        <v>1220.93</v>
      </c>
      <c r="D113" s="91">
        <f>INDEX(Data[FY2026 PD],MATCH(A113,Data[Label],0))</f>
        <v>83.58</v>
      </c>
      <c r="E113" s="91">
        <f>INDEX(Data[FY2026 Early Intervention],MATCH(A113,Data[Label],0))</f>
        <v>86.49</v>
      </c>
      <c r="F113" s="91">
        <f>INDEX(Data[FY2026 TLC],MATCH(A113,Data[Label],0))</f>
        <v>385.29</v>
      </c>
      <c r="G113" s="182">
        <f t="shared" si="83"/>
        <v>548686</v>
      </c>
      <c r="H113" s="182">
        <f t="shared" si="84"/>
        <v>37561</v>
      </c>
      <c r="I113" s="182">
        <f t="shared" si="85"/>
        <v>38869</v>
      </c>
      <c r="J113" s="182">
        <f t="shared" si="86"/>
        <v>173149</v>
      </c>
      <c r="K113" s="182">
        <f>INDEX(Data[FY2026 TSS Budget Guarantee],MATCH(A113,Data[Label],0))+INDEX(Data[FY2026 PD Budget Guarantee],MATCH(A113,Data[Label],0))+INDEX(Data[FY2026 Early Intervention Budget Guarantee],MATCH(A113,Data[Label],0))+INDEX(Data[FY2026 TLC Budget Gurantee],MATCH(A113,Data[Label],0))</f>
        <v>0</v>
      </c>
      <c r="L113" s="182">
        <f t="shared" si="87"/>
        <v>798265</v>
      </c>
      <c r="M113" s="181">
        <f>INDEX(Data[FY2027 Budget Enrollment],MATCH(A113,Data[Label],0))+INDEX(Data[FY2027 ESAs],MATCH(A113,Data[Label],0))</f>
        <v>447.5</v>
      </c>
      <c r="N113" s="91">
        <f t="shared" si="88"/>
        <v>1234.6200000000001</v>
      </c>
      <c r="O113" s="91">
        <f t="shared" si="89"/>
        <v>85.13</v>
      </c>
      <c r="P113" s="91">
        <f t="shared" si="90"/>
        <v>88.179999999999993</v>
      </c>
      <c r="Q113" s="91">
        <f t="shared" si="91"/>
        <v>393</v>
      </c>
      <c r="R113" s="182">
        <f t="shared" si="99"/>
        <v>552492</v>
      </c>
      <c r="S113" s="182">
        <f t="shared" si="100"/>
        <v>38096</v>
      </c>
      <c r="T113" s="182">
        <f t="shared" si="101"/>
        <v>39461</v>
      </c>
      <c r="U113" s="182">
        <f t="shared" ref="U113" si="139">ROUND($M113*Q113,)</f>
        <v>175868</v>
      </c>
      <c r="V113" s="182">
        <f t="shared" si="93"/>
        <v>0</v>
      </c>
      <c r="W113" s="182">
        <f t="shared" si="94"/>
        <v>805917</v>
      </c>
      <c r="X113" s="182">
        <f t="shared" si="95"/>
        <v>7652</v>
      </c>
      <c r="Y113" s="183">
        <f t="shared" si="96"/>
        <v>9.5857891802847428E-3</v>
      </c>
      <c r="Z113" s="184">
        <f t="shared" si="97"/>
        <v>-1.8999999999999773</v>
      </c>
      <c r="AA113" s="185">
        <f t="shared" si="98"/>
        <v>-4.2278593680462337E-3</v>
      </c>
    </row>
    <row r="114" spans="1:27" x14ac:dyDescent="0.55000000000000004">
      <c r="A114" s="230" t="s">
        <v>107</v>
      </c>
      <c r="B114" s="176">
        <f>INDEX(Data[FY2026 Budget Enrollment],MATCH(A114,Data[Label],0))+INDEX(Data[FY2026 ESA],MATCH(A114,Data[Label],0))</f>
        <v>164</v>
      </c>
      <c r="C114" s="218">
        <f>INDEX(Data[FY2026 TSS],MATCH(A114,Data[Label],0))</f>
        <v>1967.93</v>
      </c>
      <c r="D114" s="218">
        <f>INDEX(Data[FY2026 PD],MATCH(A114,Data[Label],0))</f>
        <v>76.069999999999993</v>
      </c>
      <c r="E114" s="218">
        <f>INDEX(Data[FY2026 Early Intervention],MATCH(A114,Data[Label],0))</f>
        <v>107.57</v>
      </c>
      <c r="F114" s="218">
        <f>INDEX(Data[FY2026 TLC],MATCH(A114,Data[Label],0))</f>
        <v>385.29</v>
      </c>
      <c r="G114" s="177">
        <f t="shared" si="83"/>
        <v>322741</v>
      </c>
      <c r="H114" s="177">
        <f t="shared" si="84"/>
        <v>12475</v>
      </c>
      <c r="I114" s="177">
        <f t="shared" si="85"/>
        <v>17641</v>
      </c>
      <c r="J114" s="177">
        <f t="shared" si="86"/>
        <v>63188</v>
      </c>
      <c r="K114" s="177">
        <f>INDEX(Data[FY2026 TSS Budget Guarantee],MATCH(A114,Data[Label],0))+INDEX(Data[FY2026 PD Budget Guarantee],MATCH(A114,Data[Label],0))+INDEX(Data[FY2026 Early Intervention Budget Guarantee],MATCH(A114,Data[Label],0))+INDEX(Data[FY2026 TLC Budget Gurantee],MATCH(A114,Data[Label],0))</f>
        <v>5609</v>
      </c>
      <c r="L114" s="177">
        <f t="shared" si="87"/>
        <v>421654</v>
      </c>
      <c r="M114" s="176">
        <f>INDEX(Data[FY2027 Budget Enrollment],MATCH(A114,Data[Label],0))+INDEX(Data[FY2027 ESAs],MATCH(A114,Data[Label],0))</f>
        <v>180.1</v>
      </c>
      <c r="N114" s="218">
        <f t="shared" si="88"/>
        <v>1981.6200000000001</v>
      </c>
      <c r="O114" s="218">
        <f t="shared" si="89"/>
        <v>77.61999999999999</v>
      </c>
      <c r="P114" s="218">
        <f t="shared" si="90"/>
        <v>109.25999999999999</v>
      </c>
      <c r="Q114" s="218">
        <f t="shared" si="91"/>
        <v>393</v>
      </c>
      <c r="R114" s="177">
        <f t="shared" si="99"/>
        <v>356890</v>
      </c>
      <c r="S114" s="177">
        <f t="shared" si="100"/>
        <v>13979</v>
      </c>
      <c r="T114" s="177">
        <f t="shared" si="101"/>
        <v>19678</v>
      </c>
      <c r="U114" s="177">
        <f t="shared" ref="U114" si="140">ROUND($M114*Q114,0)</f>
        <v>70779</v>
      </c>
      <c r="V114" s="177">
        <f t="shared" si="93"/>
        <v>0</v>
      </c>
      <c r="W114" s="177">
        <f t="shared" si="94"/>
        <v>461326</v>
      </c>
      <c r="X114" s="177">
        <f t="shared" si="95"/>
        <v>39672</v>
      </c>
      <c r="Y114" s="178">
        <f t="shared" si="96"/>
        <v>9.4086620783865441E-2</v>
      </c>
      <c r="Z114" s="179">
        <f t="shared" si="97"/>
        <v>16.099999999999994</v>
      </c>
      <c r="AA114" s="180">
        <f t="shared" si="98"/>
        <v>9.8170731707317035E-2</v>
      </c>
    </row>
    <row r="115" spans="1:27" x14ac:dyDescent="0.55000000000000004">
      <c r="A115" s="229" t="s">
        <v>108</v>
      </c>
      <c r="B115" s="181">
        <f>INDEX(Data[FY2026 Budget Enrollment],MATCH(A115,Data[Label],0))+INDEX(Data[FY2026 ESA],MATCH(A115,Data[Label],0))</f>
        <v>1147.7</v>
      </c>
      <c r="C115" s="91">
        <f>INDEX(Data[FY2026 TSS],MATCH(A115,Data[Label],0))</f>
        <v>1011.84</v>
      </c>
      <c r="D115" s="91">
        <f>INDEX(Data[FY2026 PD],MATCH(A115,Data[Label],0))</f>
        <v>77.540000000000006</v>
      </c>
      <c r="E115" s="91">
        <f>INDEX(Data[FY2026 Early Intervention],MATCH(A115,Data[Label],0))</f>
        <v>87.55</v>
      </c>
      <c r="F115" s="91">
        <f>INDEX(Data[FY2026 TLC],MATCH(A115,Data[Label],0))</f>
        <v>385.29</v>
      </c>
      <c r="G115" s="182">
        <f t="shared" si="83"/>
        <v>1161289</v>
      </c>
      <c r="H115" s="182">
        <f t="shared" si="84"/>
        <v>88993</v>
      </c>
      <c r="I115" s="182">
        <f t="shared" si="85"/>
        <v>100481</v>
      </c>
      <c r="J115" s="182">
        <f t="shared" si="86"/>
        <v>442197</v>
      </c>
      <c r="K115" s="182">
        <f>INDEX(Data[FY2026 TSS Budget Guarantee],MATCH(A115,Data[Label],0))+INDEX(Data[FY2026 PD Budget Guarantee],MATCH(A115,Data[Label],0))+INDEX(Data[FY2026 Early Intervention Budget Guarantee],MATCH(A115,Data[Label],0))+INDEX(Data[FY2026 TLC Budget Gurantee],MATCH(A115,Data[Label],0))</f>
        <v>0</v>
      </c>
      <c r="L115" s="182">
        <f t="shared" si="87"/>
        <v>1792960</v>
      </c>
      <c r="M115" s="181">
        <f>INDEX(Data[FY2027 Budget Enrollment],MATCH(A115,Data[Label],0))+INDEX(Data[FY2027 ESAs],MATCH(A115,Data[Label],0))</f>
        <v>1151.3</v>
      </c>
      <c r="N115" s="91">
        <f t="shared" si="88"/>
        <v>1025.53</v>
      </c>
      <c r="O115" s="91">
        <f t="shared" si="89"/>
        <v>79.09</v>
      </c>
      <c r="P115" s="91">
        <f t="shared" si="90"/>
        <v>89.24</v>
      </c>
      <c r="Q115" s="91">
        <f t="shared" si="91"/>
        <v>393</v>
      </c>
      <c r="R115" s="182">
        <f t="shared" si="99"/>
        <v>1180693</v>
      </c>
      <c r="S115" s="182">
        <f t="shared" si="100"/>
        <v>91056</v>
      </c>
      <c r="T115" s="182">
        <f t="shared" si="101"/>
        <v>102742</v>
      </c>
      <c r="U115" s="182">
        <f t="shared" ref="U115" si="141">ROUND($M115*Q115,)</f>
        <v>452461</v>
      </c>
      <c r="V115" s="182">
        <f t="shared" si="93"/>
        <v>0</v>
      </c>
      <c r="W115" s="182">
        <f t="shared" si="94"/>
        <v>1826952</v>
      </c>
      <c r="X115" s="182">
        <f t="shared" si="95"/>
        <v>33992</v>
      </c>
      <c r="Y115" s="183">
        <f t="shared" si="96"/>
        <v>1.8958593610565767E-2</v>
      </c>
      <c r="Z115" s="184">
        <f t="shared" si="97"/>
        <v>3.5999999999999091</v>
      </c>
      <c r="AA115" s="185">
        <f t="shared" si="98"/>
        <v>3.1367081990066295E-3</v>
      </c>
    </row>
    <row r="116" spans="1:27" x14ac:dyDescent="0.55000000000000004">
      <c r="A116" s="230" t="s">
        <v>109</v>
      </c>
      <c r="B116" s="176">
        <f>INDEX(Data[FY2026 Budget Enrollment],MATCH(A116,Data[Label],0))+INDEX(Data[FY2026 ESA],MATCH(A116,Data[Label],0))</f>
        <v>423.5</v>
      </c>
      <c r="C116" s="218">
        <f>INDEX(Data[FY2026 TSS],MATCH(A116,Data[Label],0))</f>
        <v>1474.78</v>
      </c>
      <c r="D116" s="218">
        <f>INDEX(Data[FY2026 PD],MATCH(A116,Data[Label],0))</f>
        <v>82.14</v>
      </c>
      <c r="E116" s="218">
        <f>INDEX(Data[FY2026 Early Intervention],MATCH(A116,Data[Label],0))</f>
        <v>80.239999999999995</v>
      </c>
      <c r="F116" s="218">
        <f>INDEX(Data[FY2026 TLC],MATCH(A116,Data[Label],0))</f>
        <v>385.29</v>
      </c>
      <c r="G116" s="177">
        <f t="shared" si="83"/>
        <v>624569</v>
      </c>
      <c r="H116" s="177">
        <f t="shared" si="84"/>
        <v>34786</v>
      </c>
      <c r="I116" s="177">
        <f t="shared" si="85"/>
        <v>33982</v>
      </c>
      <c r="J116" s="177">
        <f t="shared" si="86"/>
        <v>163170</v>
      </c>
      <c r="K116" s="177">
        <f>INDEX(Data[FY2026 TSS Budget Guarantee],MATCH(A116,Data[Label],0))+INDEX(Data[FY2026 PD Budget Guarantee],MATCH(A116,Data[Label],0))+INDEX(Data[FY2026 Early Intervention Budget Guarantee],MATCH(A116,Data[Label],0))+INDEX(Data[FY2026 TLC Budget Gurantee],MATCH(A116,Data[Label],0))</f>
        <v>0</v>
      </c>
      <c r="L116" s="177">
        <f t="shared" si="87"/>
        <v>856507</v>
      </c>
      <c r="M116" s="176">
        <f>INDEX(Data[FY2027 Budget Enrollment],MATCH(A116,Data[Label],0))+INDEX(Data[FY2027 ESAs],MATCH(A116,Data[Label],0))</f>
        <v>400.8</v>
      </c>
      <c r="N116" s="218">
        <f t="shared" si="88"/>
        <v>1488.47</v>
      </c>
      <c r="O116" s="218">
        <f t="shared" si="89"/>
        <v>83.69</v>
      </c>
      <c r="P116" s="218">
        <f t="shared" si="90"/>
        <v>81.929999999999993</v>
      </c>
      <c r="Q116" s="218">
        <f t="shared" si="91"/>
        <v>393</v>
      </c>
      <c r="R116" s="177">
        <f t="shared" si="99"/>
        <v>596579</v>
      </c>
      <c r="S116" s="177">
        <f t="shared" si="100"/>
        <v>33543</v>
      </c>
      <c r="T116" s="177">
        <f t="shared" si="101"/>
        <v>32838</v>
      </c>
      <c r="U116" s="177">
        <f t="shared" ref="U116" si="142">ROUND($M116*Q116,0)</f>
        <v>157514</v>
      </c>
      <c r="V116" s="177">
        <f t="shared" si="93"/>
        <v>36033</v>
      </c>
      <c r="W116" s="177">
        <f t="shared" si="94"/>
        <v>856507</v>
      </c>
      <c r="X116" s="177">
        <f t="shared" si="95"/>
        <v>0</v>
      </c>
      <c r="Y116" s="178">
        <f t="shared" si="96"/>
        <v>0</v>
      </c>
      <c r="Z116" s="179">
        <f t="shared" si="97"/>
        <v>-22.699999999999989</v>
      </c>
      <c r="AA116" s="180">
        <f t="shared" si="98"/>
        <v>-5.3600944510035393E-2</v>
      </c>
    </row>
    <row r="117" spans="1:27" x14ac:dyDescent="0.55000000000000004">
      <c r="A117" s="229" t="s">
        <v>110</v>
      </c>
      <c r="B117" s="181">
        <f>INDEX(Data[FY2026 Budget Enrollment],MATCH(A117,Data[Label],0))+INDEX(Data[FY2026 ESA],MATCH(A117,Data[Label],0))</f>
        <v>1602.7</v>
      </c>
      <c r="C117" s="91">
        <f>INDEX(Data[FY2026 TSS],MATCH(A117,Data[Label],0))</f>
        <v>1150.51</v>
      </c>
      <c r="D117" s="91">
        <f>INDEX(Data[FY2026 PD],MATCH(A117,Data[Label],0))</f>
        <v>74.290000000000006</v>
      </c>
      <c r="E117" s="91">
        <f>INDEX(Data[FY2026 Early Intervention],MATCH(A117,Data[Label],0))</f>
        <v>81.44</v>
      </c>
      <c r="F117" s="91">
        <f>INDEX(Data[FY2026 TLC],MATCH(A117,Data[Label],0))</f>
        <v>385.29</v>
      </c>
      <c r="G117" s="182">
        <f t="shared" si="83"/>
        <v>1843922</v>
      </c>
      <c r="H117" s="182">
        <f t="shared" si="84"/>
        <v>119065</v>
      </c>
      <c r="I117" s="182">
        <f t="shared" si="85"/>
        <v>130524</v>
      </c>
      <c r="J117" s="182">
        <f t="shared" si="86"/>
        <v>617504</v>
      </c>
      <c r="K117" s="182">
        <f>INDEX(Data[FY2026 TSS Budget Guarantee],MATCH(A117,Data[Label],0))+INDEX(Data[FY2026 PD Budget Guarantee],MATCH(A117,Data[Label],0))+INDEX(Data[FY2026 Early Intervention Budget Guarantee],MATCH(A117,Data[Label],0))+INDEX(Data[FY2026 TLC Budget Gurantee],MATCH(A117,Data[Label],0))</f>
        <v>0</v>
      </c>
      <c r="L117" s="182">
        <f t="shared" si="87"/>
        <v>2711015</v>
      </c>
      <c r="M117" s="181">
        <f>INDEX(Data[FY2027 Budget Enrollment],MATCH(A117,Data[Label],0))+INDEX(Data[FY2027 ESAs],MATCH(A117,Data[Label],0))</f>
        <v>1625</v>
      </c>
      <c r="N117" s="91">
        <f t="shared" si="88"/>
        <v>1164.2</v>
      </c>
      <c r="O117" s="91">
        <f t="shared" si="89"/>
        <v>75.84</v>
      </c>
      <c r="P117" s="91">
        <f t="shared" si="90"/>
        <v>83.13</v>
      </c>
      <c r="Q117" s="91">
        <f t="shared" si="91"/>
        <v>393</v>
      </c>
      <c r="R117" s="182">
        <f t="shared" si="99"/>
        <v>1891825</v>
      </c>
      <c r="S117" s="182">
        <f t="shared" si="100"/>
        <v>123240</v>
      </c>
      <c r="T117" s="182">
        <f t="shared" si="101"/>
        <v>135086</v>
      </c>
      <c r="U117" s="182">
        <f t="shared" ref="U117" si="143">ROUND($M117*Q117,)</f>
        <v>638625</v>
      </c>
      <c r="V117" s="182">
        <f t="shared" si="93"/>
        <v>0</v>
      </c>
      <c r="W117" s="182">
        <f t="shared" si="94"/>
        <v>2788776</v>
      </c>
      <c r="X117" s="182">
        <f t="shared" si="95"/>
        <v>77761</v>
      </c>
      <c r="Y117" s="183">
        <f t="shared" si="96"/>
        <v>2.8683352913945515E-2</v>
      </c>
      <c r="Z117" s="184">
        <f t="shared" si="97"/>
        <v>22.299999999999955</v>
      </c>
      <c r="AA117" s="185">
        <f t="shared" si="98"/>
        <v>1.3914020091096246E-2</v>
      </c>
    </row>
    <row r="118" spans="1:27" x14ac:dyDescent="0.55000000000000004">
      <c r="A118" s="230" t="s">
        <v>111</v>
      </c>
      <c r="B118" s="176">
        <f>INDEX(Data[FY2026 Budget Enrollment],MATCH(A118,Data[Label],0))+INDEX(Data[FY2026 ESA],MATCH(A118,Data[Label],0))</f>
        <v>1041.8</v>
      </c>
      <c r="C118" s="218">
        <f>INDEX(Data[FY2026 TSS],MATCH(A118,Data[Label],0))</f>
        <v>1031.1099999999999</v>
      </c>
      <c r="D118" s="218">
        <f>INDEX(Data[FY2026 PD],MATCH(A118,Data[Label],0))</f>
        <v>83.33</v>
      </c>
      <c r="E118" s="218">
        <f>INDEX(Data[FY2026 Early Intervention],MATCH(A118,Data[Label],0))</f>
        <v>82</v>
      </c>
      <c r="F118" s="218">
        <f>INDEX(Data[FY2026 TLC],MATCH(A118,Data[Label],0))</f>
        <v>385.29</v>
      </c>
      <c r="G118" s="177">
        <f t="shared" si="83"/>
        <v>1074210</v>
      </c>
      <c r="H118" s="177">
        <f t="shared" si="84"/>
        <v>86813</v>
      </c>
      <c r="I118" s="177">
        <f t="shared" si="85"/>
        <v>85428</v>
      </c>
      <c r="J118" s="177">
        <f t="shared" si="86"/>
        <v>401395</v>
      </c>
      <c r="K118" s="177">
        <f>INDEX(Data[FY2026 TSS Budget Guarantee],MATCH(A118,Data[Label],0))+INDEX(Data[FY2026 PD Budget Guarantee],MATCH(A118,Data[Label],0))+INDEX(Data[FY2026 Early Intervention Budget Guarantee],MATCH(A118,Data[Label],0))+INDEX(Data[FY2026 TLC Budget Gurantee],MATCH(A118,Data[Label],0))</f>
        <v>7124</v>
      </c>
      <c r="L118" s="177">
        <f t="shared" si="87"/>
        <v>1654970</v>
      </c>
      <c r="M118" s="176">
        <f>INDEX(Data[FY2027 Budget Enrollment],MATCH(A118,Data[Label],0))+INDEX(Data[FY2027 ESAs],MATCH(A118,Data[Label],0))</f>
        <v>1087.2</v>
      </c>
      <c r="N118" s="218">
        <f t="shared" si="88"/>
        <v>1044.8</v>
      </c>
      <c r="O118" s="218">
        <f t="shared" si="89"/>
        <v>84.88</v>
      </c>
      <c r="P118" s="218">
        <f t="shared" si="90"/>
        <v>83.69</v>
      </c>
      <c r="Q118" s="218">
        <f t="shared" si="91"/>
        <v>393</v>
      </c>
      <c r="R118" s="177">
        <f t="shared" si="99"/>
        <v>1135907</v>
      </c>
      <c r="S118" s="177">
        <f t="shared" si="100"/>
        <v>92282</v>
      </c>
      <c r="T118" s="177">
        <f t="shared" si="101"/>
        <v>90988</v>
      </c>
      <c r="U118" s="177">
        <f t="shared" ref="U118" si="144">ROUND($M118*Q118,0)</f>
        <v>427270</v>
      </c>
      <c r="V118" s="177">
        <f t="shared" si="93"/>
        <v>0</v>
      </c>
      <c r="W118" s="177">
        <f t="shared" si="94"/>
        <v>1746447</v>
      </c>
      <c r="X118" s="177">
        <f t="shared" si="95"/>
        <v>91477</v>
      </c>
      <c r="Y118" s="178">
        <f t="shared" si="96"/>
        <v>5.5274113730158253E-2</v>
      </c>
      <c r="Z118" s="179">
        <f t="shared" si="97"/>
        <v>45.400000000000091</v>
      </c>
      <c r="AA118" s="180">
        <f t="shared" si="98"/>
        <v>4.3578421961988953E-2</v>
      </c>
    </row>
    <row r="119" spans="1:27" x14ac:dyDescent="0.55000000000000004">
      <c r="A119" s="229" t="s">
        <v>112</v>
      </c>
      <c r="B119" s="181">
        <f>INDEX(Data[FY2026 Budget Enrollment],MATCH(A119,Data[Label],0))+INDEX(Data[FY2026 ESA],MATCH(A119,Data[Label],0))</f>
        <v>3951.9</v>
      </c>
      <c r="C119" s="91">
        <f>INDEX(Data[FY2026 TSS],MATCH(A119,Data[Label],0))</f>
        <v>843.43</v>
      </c>
      <c r="D119" s="91">
        <f>INDEX(Data[FY2026 PD],MATCH(A119,Data[Label],0))</f>
        <v>80.709999999999994</v>
      </c>
      <c r="E119" s="91">
        <f>INDEX(Data[FY2026 Early Intervention],MATCH(A119,Data[Label],0))</f>
        <v>91.01</v>
      </c>
      <c r="F119" s="91">
        <f>INDEX(Data[FY2026 TLC],MATCH(A119,Data[Label],0))</f>
        <v>385.29</v>
      </c>
      <c r="G119" s="182">
        <f t="shared" si="83"/>
        <v>3333151</v>
      </c>
      <c r="H119" s="182">
        <f t="shared" si="84"/>
        <v>318958</v>
      </c>
      <c r="I119" s="182">
        <f t="shared" si="85"/>
        <v>359662</v>
      </c>
      <c r="J119" s="182">
        <f t="shared" si="86"/>
        <v>1522628</v>
      </c>
      <c r="K119" s="182">
        <f>INDEX(Data[FY2026 TSS Budget Guarantee],MATCH(A119,Data[Label],0))+INDEX(Data[FY2026 PD Budget Guarantee],MATCH(A119,Data[Label],0))+INDEX(Data[FY2026 Early Intervention Budget Guarantee],MATCH(A119,Data[Label],0))+INDEX(Data[FY2026 TLC Budget Gurantee],MATCH(A119,Data[Label],0))</f>
        <v>0</v>
      </c>
      <c r="L119" s="182">
        <f t="shared" si="87"/>
        <v>5534399</v>
      </c>
      <c r="M119" s="181">
        <f>INDEX(Data[FY2027 Budget Enrollment],MATCH(A119,Data[Label],0))+INDEX(Data[FY2027 ESAs],MATCH(A119,Data[Label],0))</f>
        <v>4048.3</v>
      </c>
      <c r="N119" s="91">
        <f t="shared" si="88"/>
        <v>857.12</v>
      </c>
      <c r="O119" s="91">
        <f t="shared" si="89"/>
        <v>82.259999999999991</v>
      </c>
      <c r="P119" s="91">
        <f t="shared" si="90"/>
        <v>92.7</v>
      </c>
      <c r="Q119" s="91">
        <f t="shared" si="91"/>
        <v>393</v>
      </c>
      <c r="R119" s="182">
        <f t="shared" si="99"/>
        <v>3469879</v>
      </c>
      <c r="S119" s="182">
        <f t="shared" si="100"/>
        <v>333013</v>
      </c>
      <c r="T119" s="182">
        <f t="shared" si="101"/>
        <v>375277</v>
      </c>
      <c r="U119" s="182">
        <f t="shared" ref="U119" si="145">ROUND($M119*Q119,)</f>
        <v>1590982</v>
      </c>
      <c r="V119" s="182">
        <f t="shared" si="93"/>
        <v>0</v>
      </c>
      <c r="W119" s="182">
        <f t="shared" si="94"/>
        <v>5769151</v>
      </c>
      <c r="X119" s="182">
        <f t="shared" si="95"/>
        <v>234752</v>
      </c>
      <c r="Y119" s="183">
        <f t="shared" si="96"/>
        <v>4.2416891156564607E-2</v>
      </c>
      <c r="Z119" s="184">
        <f t="shared" si="97"/>
        <v>96.400000000000091</v>
      </c>
      <c r="AA119" s="185">
        <f t="shared" si="98"/>
        <v>2.4393329790733595E-2</v>
      </c>
    </row>
    <row r="120" spans="1:27" x14ac:dyDescent="0.55000000000000004">
      <c r="A120" s="230" t="s">
        <v>113</v>
      </c>
      <c r="B120" s="176">
        <f>INDEX(Data[FY2026 Budget Enrollment],MATCH(A120,Data[Label],0))+INDEX(Data[FY2026 ESA],MATCH(A120,Data[Label],0))</f>
        <v>2306.5</v>
      </c>
      <c r="C120" s="218">
        <f>INDEX(Data[FY2026 TSS],MATCH(A120,Data[Label],0))</f>
        <v>750.64</v>
      </c>
      <c r="D120" s="218">
        <f>INDEX(Data[FY2026 PD],MATCH(A120,Data[Label],0))</f>
        <v>73.89</v>
      </c>
      <c r="E120" s="218">
        <f>INDEX(Data[FY2026 Early Intervention],MATCH(A120,Data[Label],0))</f>
        <v>82.1</v>
      </c>
      <c r="F120" s="218">
        <f>INDEX(Data[FY2026 TLC],MATCH(A120,Data[Label],0))</f>
        <v>385.29</v>
      </c>
      <c r="G120" s="177">
        <f t="shared" si="83"/>
        <v>1731351</v>
      </c>
      <c r="H120" s="177">
        <f t="shared" si="84"/>
        <v>170427</v>
      </c>
      <c r="I120" s="177">
        <f t="shared" si="85"/>
        <v>189364</v>
      </c>
      <c r="J120" s="177">
        <f t="shared" si="86"/>
        <v>888671</v>
      </c>
      <c r="K120" s="177">
        <f>INDEX(Data[FY2026 TSS Budget Guarantee],MATCH(A120,Data[Label],0))+INDEX(Data[FY2026 PD Budget Guarantee],MATCH(A120,Data[Label],0))+INDEX(Data[FY2026 Early Intervention Budget Guarantee],MATCH(A120,Data[Label],0))+INDEX(Data[FY2026 TLC Budget Gurantee],MATCH(A120,Data[Label],0))</f>
        <v>0</v>
      </c>
      <c r="L120" s="177">
        <f t="shared" si="87"/>
        <v>2979813</v>
      </c>
      <c r="M120" s="176">
        <f>INDEX(Data[FY2027 Budget Enrollment],MATCH(A120,Data[Label],0))+INDEX(Data[FY2027 ESAs],MATCH(A120,Data[Label],0))</f>
        <v>2360.6</v>
      </c>
      <c r="N120" s="218">
        <f t="shared" si="88"/>
        <v>764.33</v>
      </c>
      <c r="O120" s="218">
        <f t="shared" si="89"/>
        <v>75.44</v>
      </c>
      <c r="P120" s="218">
        <f t="shared" si="90"/>
        <v>83.789999999999992</v>
      </c>
      <c r="Q120" s="218">
        <f t="shared" si="91"/>
        <v>393</v>
      </c>
      <c r="R120" s="177">
        <f t="shared" si="99"/>
        <v>1804277</v>
      </c>
      <c r="S120" s="177">
        <f t="shared" si="100"/>
        <v>178084</v>
      </c>
      <c r="T120" s="177">
        <f t="shared" si="101"/>
        <v>197795</v>
      </c>
      <c r="U120" s="177">
        <f t="shared" ref="U120" si="146">ROUND($M120*Q120,0)</f>
        <v>927716</v>
      </c>
      <c r="V120" s="177">
        <f t="shared" si="93"/>
        <v>0</v>
      </c>
      <c r="W120" s="177">
        <f t="shared" si="94"/>
        <v>3107872</v>
      </c>
      <c r="X120" s="177">
        <f t="shared" si="95"/>
        <v>128059</v>
      </c>
      <c r="Y120" s="178">
        <f t="shared" si="96"/>
        <v>4.2975515577655374E-2</v>
      </c>
      <c r="Z120" s="179">
        <f t="shared" si="97"/>
        <v>54.099999999999909</v>
      </c>
      <c r="AA120" s="180">
        <f t="shared" si="98"/>
        <v>2.3455451983524781E-2</v>
      </c>
    </row>
    <row r="121" spans="1:27" x14ac:dyDescent="0.55000000000000004">
      <c r="A121" s="229" t="s">
        <v>114</v>
      </c>
      <c r="B121" s="181">
        <f>INDEX(Data[FY2026 Budget Enrollment],MATCH(A121,Data[Label],0))+INDEX(Data[FY2026 ESA],MATCH(A121,Data[Label],0))</f>
        <v>443</v>
      </c>
      <c r="C121" s="91">
        <f>INDEX(Data[FY2026 TSS],MATCH(A121,Data[Label],0))</f>
        <v>1154.3599999999999</v>
      </c>
      <c r="D121" s="91">
        <f>INDEX(Data[FY2026 PD],MATCH(A121,Data[Label],0))</f>
        <v>68.3</v>
      </c>
      <c r="E121" s="91">
        <f>INDEX(Data[FY2026 Early Intervention],MATCH(A121,Data[Label],0))</f>
        <v>87.7</v>
      </c>
      <c r="F121" s="91">
        <f>INDEX(Data[FY2026 TLC],MATCH(A121,Data[Label],0))</f>
        <v>385.29</v>
      </c>
      <c r="G121" s="182">
        <f t="shared" si="83"/>
        <v>511381</v>
      </c>
      <c r="H121" s="182">
        <f t="shared" si="84"/>
        <v>30257</v>
      </c>
      <c r="I121" s="182">
        <f t="shared" si="85"/>
        <v>38851</v>
      </c>
      <c r="J121" s="182">
        <f t="shared" si="86"/>
        <v>170683</v>
      </c>
      <c r="K121" s="182">
        <f>INDEX(Data[FY2026 TSS Budget Guarantee],MATCH(A121,Data[Label],0))+INDEX(Data[FY2026 PD Budget Guarantee],MATCH(A121,Data[Label],0))+INDEX(Data[FY2026 Early Intervention Budget Guarantee],MATCH(A121,Data[Label],0))+INDEX(Data[FY2026 TLC Budget Gurantee],MATCH(A121,Data[Label],0))</f>
        <v>0</v>
      </c>
      <c r="L121" s="182">
        <f t="shared" si="87"/>
        <v>751172</v>
      </c>
      <c r="M121" s="181">
        <f>INDEX(Data[FY2027 Budget Enrollment],MATCH(A121,Data[Label],0))+INDEX(Data[FY2027 ESAs],MATCH(A121,Data[Label],0))</f>
        <v>441</v>
      </c>
      <c r="N121" s="91">
        <f t="shared" si="88"/>
        <v>1168.05</v>
      </c>
      <c r="O121" s="91">
        <f t="shared" si="89"/>
        <v>69.849999999999994</v>
      </c>
      <c r="P121" s="91">
        <f t="shared" si="90"/>
        <v>89.39</v>
      </c>
      <c r="Q121" s="91">
        <f t="shared" si="91"/>
        <v>393</v>
      </c>
      <c r="R121" s="182">
        <f t="shared" si="99"/>
        <v>515110</v>
      </c>
      <c r="S121" s="182">
        <f t="shared" si="100"/>
        <v>30804</v>
      </c>
      <c r="T121" s="182">
        <f t="shared" si="101"/>
        <v>39421</v>
      </c>
      <c r="U121" s="182">
        <f t="shared" ref="U121" si="147">ROUND($M121*Q121,)</f>
        <v>173313</v>
      </c>
      <c r="V121" s="182">
        <f t="shared" si="93"/>
        <v>0</v>
      </c>
      <c r="W121" s="182">
        <f t="shared" si="94"/>
        <v>758648</v>
      </c>
      <c r="X121" s="182">
        <f t="shared" si="95"/>
        <v>7476</v>
      </c>
      <c r="Y121" s="183">
        <f t="shared" si="96"/>
        <v>9.9524476418183846E-3</v>
      </c>
      <c r="Z121" s="184">
        <f t="shared" si="97"/>
        <v>-2</v>
      </c>
      <c r="AA121" s="185">
        <f t="shared" si="98"/>
        <v>-4.5146726862302479E-3</v>
      </c>
    </row>
    <row r="122" spans="1:27" x14ac:dyDescent="0.55000000000000004">
      <c r="A122" s="230" t="s">
        <v>115</v>
      </c>
      <c r="B122" s="176">
        <f>INDEX(Data[FY2026 Budget Enrollment],MATCH(A122,Data[Label],0))+INDEX(Data[FY2026 ESA],MATCH(A122,Data[Label],0))</f>
        <v>251.3</v>
      </c>
      <c r="C122" s="218">
        <f>INDEX(Data[FY2026 TSS],MATCH(A122,Data[Label],0))</f>
        <v>2579.62</v>
      </c>
      <c r="D122" s="218">
        <f>INDEX(Data[FY2026 PD],MATCH(A122,Data[Label],0))</f>
        <v>92.02</v>
      </c>
      <c r="E122" s="218">
        <f>INDEX(Data[FY2026 Early Intervention],MATCH(A122,Data[Label],0))</f>
        <v>93.4</v>
      </c>
      <c r="F122" s="218">
        <f>INDEX(Data[FY2026 TLC],MATCH(A122,Data[Label],0))</f>
        <v>385.29</v>
      </c>
      <c r="G122" s="177">
        <f t="shared" si="83"/>
        <v>648259</v>
      </c>
      <c r="H122" s="177">
        <f t="shared" si="84"/>
        <v>23125</v>
      </c>
      <c r="I122" s="177">
        <f t="shared" si="85"/>
        <v>23471</v>
      </c>
      <c r="J122" s="177">
        <f t="shared" si="86"/>
        <v>96823</v>
      </c>
      <c r="K122" s="177">
        <f>INDEX(Data[FY2026 TSS Budget Guarantee],MATCH(A122,Data[Label],0))+INDEX(Data[FY2026 PD Budget Guarantee],MATCH(A122,Data[Label],0))+INDEX(Data[FY2026 Early Intervention Budget Guarantee],MATCH(A122,Data[Label],0))+INDEX(Data[FY2026 TLC Budget Gurantee],MATCH(A122,Data[Label],0))</f>
        <v>0</v>
      </c>
      <c r="L122" s="177">
        <f t="shared" si="87"/>
        <v>791678</v>
      </c>
      <c r="M122" s="176">
        <f>INDEX(Data[FY2027 Budget Enrollment],MATCH(A122,Data[Label],0))+INDEX(Data[FY2027 ESAs],MATCH(A122,Data[Label],0))</f>
        <v>232.1</v>
      </c>
      <c r="N122" s="218">
        <f t="shared" si="88"/>
        <v>2593.31</v>
      </c>
      <c r="O122" s="218">
        <f t="shared" si="89"/>
        <v>93.57</v>
      </c>
      <c r="P122" s="218">
        <f t="shared" si="90"/>
        <v>95.09</v>
      </c>
      <c r="Q122" s="218">
        <f t="shared" si="91"/>
        <v>393</v>
      </c>
      <c r="R122" s="177">
        <f t="shared" si="99"/>
        <v>601907</v>
      </c>
      <c r="S122" s="177">
        <f t="shared" si="100"/>
        <v>21718</v>
      </c>
      <c r="T122" s="177">
        <f t="shared" si="101"/>
        <v>22070</v>
      </c>
      <c r="U122" s="177">
        <f t="shared" ref="U122" si="148">ROUND($M122*Q122,0)</f>
        <v>91215</v>
      </c>
      <c r="V122" s="177">
        <f t="shared" si="93"/>
        <v>54768</v>
      </c>
      <c r="W122" s="177">
        <f t="shared" si="94"/>
        <v>791678</v>
      </c>
      <c r="X122" s="177">
        <f t="shared" si="95"/>
        <v>0</v>
      </c>
      <c r="Y122" s="178">
        <f t="shared" si="96"/>
        <v>0</v>
      </c>
      <c r="Z122" s="179">
        <f t="shared" si="97"/>
        <v>-19.200000000000017</v>
      </c>
      <c r="AA122" s="180">
        <f t="shared" si="98"/>
        <v>-7.6402705929168382E-2</v>
      </c>
    </row>
    <row r="123" spans="1:27" x14ac:dyDescent="0.55000000000000004">
      <c r="A123" s="229" t="s">
        <v>116</v>
      </c>
      <c r="B123" s="181">
        <f>INDEX(Data[FY2026 Budget Enrollment],MATCH(A123,Data[Label],0))+INDEX(Data[FY2026 ESA],MATCH(A123,Data[Label],0))</f>
        <v>470.4</v>
      </c>
      <c r="C123" s="91">
        <f>INDEX(Data[FY2026 TSS],MATCH(A123,Data[Label],0))</f>
        <v>1179.0899999999999</v>
      </c>
      <c r="D123" s="91">
        <f>INDEX(Data[FY2026 PD],MATCH(A123,Data[Label],0))</f>
        <v>77.09</v>
      </c>
      <c r="E123" s="91">
        <f>INDEX(Data[FY2026 Early Intervention],MATCH(A123,Data[Label],0))</f>
        <v>81.010000000000005</v>
      </c>
      <c r="F123" s="91">
        <f>INDEX(Data[FY2026 TLC],MATCH(A123,Data[Label],0))</f>
        <v>385.29</v>
      </c>
      <c r="G123" s="182">
        <f t="shared" si="83"/>
        <v>554644</v>
      </c>
      <c r="H123" s="182">
        <f t="shared" si="84"/>
        <v>36263</v>
      </c>
      <c r="I123" s="182">
        <f t="shared" si="85"/>
        <v>38107</v>
      </c>
      <c r="J123" s="182">
        <f t="shared" si="86"/>
        <v>181240</v>
      </c>
      <c r="K123" s="182">
        <f>INDEX(Data[FY2026 TSS Budget Guarantee],MATCH(A123,Data[Label],0))+INDEX(Data[FY2026 PD Budget Guarantee],MATCH(A123,Data[Label],0))+INDEX(Data[FY2026 Early Intervention Budget Guarantee],MATCH(A123,Data[Label],0))+INDEX(Data[FY2026 TLC Budget Gurantee],MATCH(A123,Data[Label],0))</f>
        <v>0</v>
      </c>
      <c r="L123" s="182">
        <f t="shared" si="87"/>
        <v>810254</v>
      </c>
      <c r="M123" s="181">
        <f>INDEX(Data[FY2027 Budget Enrollment],MATCH(A123,Data[Label],0))+INDEX(Data[FY2027 ESAs],MATCH(A123,Data[Label],0))</f>
        <v>454.7</v>
      </c>
      <c r="N123" s="91">
        <f t="shared" si="88"/>
        <v>1192.78</v>
      </c>
      <c r="O123" s="91">
        <f t="shared" si="89"/>
        <v>78.64</v>
      </c>
      <c r="P123" s="91">
        <f t="shared" si="90"/>
        <v>82.7</v>
      </c>
      <c r="Q123" s="91">
        <f t="shared" si="91"/>
        <v>393</v>
      </c>
      <c r="R123" s="182">
        <f t="shared" si="99"/>
        <v>542357</v>
      </c>
      <c r="S123" s="182">
        <f t="shared" si="100"/>
        <v>35758</v>
      </c>
      <c r="T123" s="182">
        <f t="shared" si="101"/>
        <v>37604</v>
      </c>
      <c r="U123" s="182">
        <f t="shared" ref="U123" si="149">ROUND($M123*Q123,)</f>
        <v>178697</v>
      </c>
      <c r="V123" s="182">
        <f t="shared" si="93"/>
        <v>15838</v>
      </c>
      <c r="W123" s="182">
        <f t="shared" si="94"/>
        <v>810254</v>
      </c>
      <c r="X123" s="182">
        <f t="shared" si="95"/>
        <v>0</v>
      </c>
      <c r="Y123" s="183">
        <f t="shared" si="96"/>
        <v>0</v>
      </c>
      <c r="Z123" s="184">
        <f t="shared" si="97"/>
        <v>-15.699999999999989</v>
      </c>
      <c r="AA123" s="185">
        <f t="shared" si="98"/>
        <v>-3.3375850340136029E-2</v>
      </c>
    </row>
    <row r="124" spans="1:27" x14ac:dyDescent="0.55000000000000004">
      <c r="A124" s="230" t="s">
        <v>117</v>
      </c>
      <c r="B124" s="176">
        <f>INDEX(Data[FY2026 Budget Enrollment],MATCH(A124,Data[Label],0))+INDEX(Data[FY2026 ESA],MATCH(A124,Data[Label],0))</f>
        <v>858.3</v>
      </c>
      <c r="C124" s="218">
        <f>INDEX(Data[FY2026 TSS],MATCH(A124,Data[Label],0))</f>
        <v>1125.68</v>
      </c>
      <c r="D124" s="218">
        <f>INDEX(Data[FY2026 PD],MATCH(A124,Data[Label],0))</f>
        <v>80.16</v>
      </c>
      <c r="E124" s="218">
        <f>INDEX(Data[FY2026 Early Intervention],MATCH(A124,Data[Label],0))</f>
        <v>83.71</v>
      </c>
      <c r="F124" s="218">
        <f>INDEX(Data[FY2026 TLC],MATCH(A124,Data[Label],0))</f>
        <v>385.29</v>
      </c>
      <c r="G124" s="177">
        <f t="shared" si="83"/>
        <v>966171</v>
      </c>
      <c r="H124" s="177">
        <f t="shared" si="84"/>
        <v>68801</v>
      </c>
      <c r="I124" s="177">
        <f t="shared" si="85"/>
        <v>71848</v>
      </c>
      <c r="J124" s="177">
        <f t="shared" si="86"/>
        <v>330694</v>
      </c>
      <c r="K124" s="177">
        <f>INDEX(Data[FY2026 TSS Budget Guarantee],MATCH(A124,Data[Label],0))+INDEX(Data[FY2026 PD Budget Guarantee],MATCH(A124,Data[Label],0))+INDEX(Data[FY2026 Early Intervention Budget Guarantee],MATCH(A124,Data[Label],0))+INDEX(Data[FY2026 TLC Budget Gurantee],MATCH(A124,Data[Label],0))</f>
        <v>0</v>
      </c>
      <c r="L124" s="177">
        <f t="shared" si="87"/>
        <v>1437514</v>
      </c>
      <c r="M124" s="176">
        <f>INDEX(Data[FY2027 Budget Enrollment],MATCH(A124,Data[Label],0))+INDEX(Data[FY2027 ESAs],MATCH(A124,Data[Label],0))</f>
        <v>881.4</v>
      </c>
      <c r="N124" s="218">
        <f t="shared" si="88"/>
        <v>1139.3700000000001</v>
      </c>
      <c r="O124" s="218">
        <f t="shared" si="89"/>
        <v>81.709999999999994</v>
      </c>
      <c r="P124" s="218">
        <f t="shared" si="90"/>
        <v>85.399999999999991</v>
      </c>
      <c r="Q124" s="218">
        <f t="shared" si="91"/>
        <v>393</v>
      </c>
      <c r="R124" s="177">
        <f t="shared" si="99"/>
        <v>1004241</v>
      </c>
      <c r="S124" s="177">
        <f t="shared" si="100"/>
        <v>72019</v>
      </c>
      <c r="T124" s="177">
        <f t="shared" si="101"/>
        <v>75272</v>
      </c>
      <c r="U124" s="177">
        <f t="shared" ref="U124" si="150">ROUND($M124*Q124,0)</f>
        <v>346390</v>
      </c>
      <c r="V124" s="177">
        <f t="shared" si="93"/>
        <v>0</v>
      </c>
      <c r="W124" s="177">
        <f t="shared" si="94"/>
        <v>1497922</v>
      </c>
      <c r="X124" s="177">
        <f t="shared" si="95"/>
        <v>60408</v>
      </c>
      <c r="Y124" s="178">
        <f t="shared" si="96"/>
        <v>4.2022547258670176E-2</v>
      </c>
      <c r="Z124" s="179">
        <f t="shared" si="97"/>
        <v>23.100000000000023</v>
      </c>
      <c r="AA124" s="180">
        <f t="shared" si="98"/>
        <v>2.6913666550157315E-2</v>
      </c>
    </row>
    <row r="125" spans="1:27" x14ac:dyDescent="0.55000000000000004">
      <c r="A125" s="229" t="s">
        <v>118</v>
      </c>
      <c r="B125" s="181">
        <f>INDEX(Data[FY2026 Budget Enrollment],MATCH(A125,Data[Label],0))+INDEX(Data[FY2026 ESA],MATCH(A125,Data[Label],0))</f>
        <v>427.2</v>
      </c>
      <c r="C125" s="91">
        <f>INDEX(Data[FY2026 TSS],MATCH(A125,Data[Label],0))</f>
        <v>1338.68</v>
      </c>
      <c r="D125" s="91">
        <f>INDEX(Data[FY2026 PD],MATCH(A125,Data[Label],0))</f>
        <v>79.040000000000006</v>
      </c>
      <c r="E125" s="91">
        <f>INDEX(Data[FY2026 Early Intervention],MATCH(A125,Data[Label],0))</f>
        <v>81.33</v>
      </c>
      <c r="F125" s="91">
        <f>INDEX(Data[FY2026 TLC],MATCH(A125,Data[Label],0))</f>
        <v>385.29</v>
      </c>
      <c r="G125" s="182">
        <f t="shared" si="83"/>
        <v>571884</v>
      </c>
      <c r="H125" s="182">
        <f t="shared" si="84"/>
        <v>33766</v>
      </c>
      <c r="I125" s="182">
        <f t="shared" si="85"/>
        <v>34744</v>
      </c>
      <c r="J125" s="182">
        <f t="shared" si="86"/>
        <v>164596</v>
      </c>
      <c r="K125" s="182">
        <f>INDEX(Data[FY2026 TSS Budget Guarantee],MATCH(A125,Data[Label],0))+INDEX(Data[FY2026 PD Budget Guarantee],MATCH(A125,Data[Label],0))+INDEX(Data[FY2026 Early Intervention Budget Guarantee],MATCH(A125,Data[Label],0))+INDEX(Data[FY2026 TLC Budget Gurantee],MATCH(A125,Data[Label],0))</f>
        <v>16707</v>
      </c>
      <c r="L125" s="182">
        <f t="shared" si="87"/>
        <v>821697</v>
      </c>
      <c r="M125" s="181">
        <f>INDEX(Data[FY2027 Budget Enrollment],MATCH(A125,Data[Label],0))+INDEX(Data[FY2027 ESAs],MATCH(A125,Data[Label],0))</f>
        <v>421.2</v>
      </c>
      <c r="N125" s="91">
        <f t="shared" si="88"/>
        <v>1352.3700000000001</v>
      </c>
      <c r="O125" s="91">
        <f t="shared" si="89"/>
        <v>80.59</v>
      </c>
      <c r="P125" s="91">
        <f t="shared" si="90"/>
        <v>83.02</v>
      </c>
      <c r="Q125" s="91">
        <f t="shared" si="91"/>
        <v>393</v>
      </c>
      <c r="R125" s="182">
        <f t="shared" si="99"/>
        <v>569618</v>
      </c>
      <c r="S125" s="182">
        <f t="shared" si="100"/>
        <v>33945</v>
      </c>
      <c r="T125" s="182">
        <f t="shared" si="101"/>
        <v>34968</v>
      </c>
      <c r="U125" s="182">
        <f t="shared" ref="U125" si="151">ROUND($M125*Q125,)</f>
        <v>165532</v>
      </c>
      <c r="V125" s="182">
        <f t="shared" si="93"/>
        <v>2266</v>
      </c>
      <c r="W125" s="182">
        <f t="shared" si="94"/>
        <v>806329</v>
      </c>
      <c r="X125" s="182">
        <f t="shared" si="95"/>
        <v>-15368</v>
      </c>
      <c r="Y125" s="183">
        <f t="shared" si="96"/>
        <v>-1.8702757829224155E-2</v>
      </c>
      <c r="Z125" s="184">
        <f t="shared" si="97"/>
        <v>-6</v>
      </c>
      <c r="AA125" s="185">
        <f t="shared" si="98"/>
        <v>-1.4044943820224719E-2</v>
      </c>
    </row>
    <row r="126" spans="1:27" x14ac:dyDescent="0.55000000000000004">
      <c r="A126" s="230" t="s">
        <v>119</v>
      </c>
      <c r="B126" s="176">
        <f>INDEX(Data[FY2026 Budget Enrollment],MATCH(A126,Data[Label],0))+INDEX(Data[FY2026 ESA],MATCH(A126,Data[Label],0))</f>
        <v>1615.5</v>
      </c>
      <c r="C126" s="218">
        <f>INDEX(Data[FY2026 TSS],MATCH(A126,Data[Label],0))</f>
        <v>755.69</v>
      </c>
      <c r="D126" s="218">
        <f>INDEX(Data[FY2026 PD],MATCH(A126,Data[Label],0))</f>
        <v>72.709999999999994</v>
      </c>
      <c r="E126" s="218">
        <f>INDEX(Data[FY2026 Early Intervention],MATCH(A126,Data[Label],0))</f>
        <v>65.88</v>
      </c>
      <c r="F126" s="218">
        <f>INDEX(Data[FY2026 TLC],MATCH(A126,Data[Label],0))</f>
        <v>385.29</v>
      </c>
      <c r="G126" s="177">
        <f t="shared" si="83"/>
        <v>1220817</v>
      </c>
      <c r="H126" s="177">
        <f t="shared" si="84"/>
        <v>117463</v>
      </c>
      <c r="I126" s="177">
        <f t="shared" si="85"/>
        <v>106429</v>
      </c>
      <c r="J126" s="177">
        <f t="shared" si="86"/>
        <v>622436</v>
      </c>
      <c r="K126" s="177">
        <f>INDEX(Data[FY2026 TSS Budget Guarantee],MATCH(A126,Data[Label],0))+INDEX(Data[FY2026 PD Budget Guarantee],MATCH(A126,Data[Label],0))+INDEX(Data[FY2026 Early Intervention Budget Guarantee],MATCH(A126,Data[Label],0))+INDEX(Data[FY2026 TLC Budget Gurantee],MATCH(A126,Data[Label],0))</f>
        <v>0</v>
      </c>
      <c r="L126" s="177">
        <f t="shared" si="87"/>
        <v>2067145</v>
      </c>
      <c r="M126" s="176">
        <f>INDEX(Data[FY2027 Budget Enrollment],MATCH(A126,Data[Label],0))+INDEX(Data[FY2027 ESAs],MATCH(A126,Data[Label],0))</f>
        <v>1633</v>
      </c>
      <c r="N126" s="218">
        <f t="shared" si="88"/>
        <v>769.38000000000011</v>
      </c>
      <c r="O126" s="218">
        <f t="shared" si="89"/>
        <v>74.259999999999991</v>
      </c>
      <c r="P126" s="218">
        <f t="shared" si="90"/>
        <v>67.569999999999993</v>
      </c>
      <c r="Q126" s="218">
        <f t="shared" si="91"/>
        <v>393</v>
      </c>
      <c r="R126" s="177">
        <f t="shared" si="99"/>
        <v>1256398</v>
      </c>
      <c r="S126" s="177">
        <f t="shared" si="100"/>
        <v>121267</v>
      </c>
      <c r="T126" s="177">
        <f t="shared" si="101"/>
        <v>110342</v>
      </c>
      <c r="U126" s="177">
        <f t="shared" ref="U126" si="152">ROUND($M126*Q126,0)</f>
        <v>641769</v>
      </c>
      <c r="V126" s="177">
        <f t="shared" si="93"/>
        <v>0</v>
      </c>
      <c r="W126" s="177">
        <f t="shared" si="94"/>
        <v>2129776</v>
      </c>
      <c r="X126" s="177">
        <f t="shared" si="95"/>
        <v>62631</v>
      </c>
      <c r="Y126" s="178">
        <f t="shared" si="96"/>
        <v>3.0298309987930212E-2</v>
      </c>
      <c r="Z126" s="179">
        <f t="shared" si="97"/>
        <v>17.5</v>
      </c>
      <c r="AA126" s="180">
        <f t="shared" si="98"/>
        <v>1.0832559579077685E-2</v>
      </c>
    </row>
    <row r="127" spans="1:27" x14ac:dyDescent="0.55000000000000004">
      <c r="A127" s="229" t="s">
        <v>120</v>
      </c>
      <c r="B127" s="181">
        <f>INDEX(Data[FY2026 Budget Enrollment],MATCH(A127,Data[Label],0))+INDEX(Data[FY2026 ESA],MATCH(A127,Data[Label],0))</f>
        <v>161.1</v>
      </c>
      <c r="C127" s="91">
        <f>INDEX(Data[FY2026 TSS],MATCH(A127,Data[Label],0))</f>
        <v>1271.4000000000001</v>
      </c>
      <c r="D127" s="91">
        <f>INDEX(Data[FY2026 PD],MATCH(A127,Data[Label],0))</f>
        <v>89.11</v>
      </c>
      <c r="E127" s="91">
        <f>INDEX(Data[FY2026 Early Intervention],MATCH(A127,Data[Label],0))</f>
        <v>65.819999999999993</v>
      </c>
      <c r="F127" s="91">
        <f>INDEX(Data[FY2026 TLC],MATCH(A127,Data[Label],0))</f>
        <v>385.29</v>
      </c>
      <c r="G127" s="182">
        <f t="shared" si="83"/>
        <v>204823</v>
      </c>
      <c r="H127" s="182">
        <f t="shared" si="84"/>
        <v>14356</v>
      </c>
      <c r="I127" s="182">
        <f t="shared" si="85"/>
        <v>10604</v>
      </c>
      <c r="J127" s="182">
        <f t="shared" si="86"/>
        <v>62070</v>
      </c>
      <c r="K127" s="182">
        <f>INDEX(Data[FY2026 TSS Budget Guarantee],MATCH(A127,Data[Label],0))+INDEX(Data[FY2026 PD Budget Guarantee],MATCH(A127,Data[Label],0))+INDEX(Data[FY2026 Early Intervention Budget Guarantee],MATCH(A127,Data[Label],0))+INDEX(Data[FY2026 TLC Budget Gurantee],MATCH(A127,Data[Label],0))</f>
        <v>74</v>
      </c>
      <c r="L127" s="182">
        <f t="shared" si="87"/>
        <v>291927</v>
      </c>
      <c r="M127" s="181">
        <f>INDEX(Data[FY2027 Budget Enrollment],MATCH(A127,Data[Label],0))+INDEX(Data[FY2027 ESAs],MATCH(A127,Data[Label],0))</f>
        <v>167</v>
      </c>
      <c r="N127" s="91">
        <f t="shared" si="88"/>
        <v>1285.0900000000001</v>
      </c>
      <c r="O127" s="91">
        <f t="shared" si="89"/>
        <v>90.66</v>
      </c>
      <c r="P127" s="91">
        <f t="shared" si="90"/>
        <v>67.509999999999991</v>
      </c>
      <c r="Q127" s="91">
        <f t="shared" si="91"/>
        <v>393</v>
      </c>
      <c r="R127" s="182">
        <f t="shared" si="99"/>
        <v>214610</v>
      </c>
      <c r="S127" s="182">
        <f t="shared" si="100"/>
        <v>15140</v>
      </c>
      <c r="T127" s="182">
        <f t="shared" si="101"/>
        <v>11274</v>
      </c>
      <c r="U127" s="182">
        <f t="shared" ref="U127" si="153">ROUND($M127*Q127,)</f>
        <v>65631</v>
      </c>
      <c r="V127" s="182">
        <f t="shared" si="93"/>
        <v>0</v>
      </c>
      <c r="W127" s="182">
        <f t="shared" si="94"/>
        <v>306655</v>
      </c>
      <c r="X127" s="182">
        <f t="shared" si="95"/>
        <v>14728</v>
      </c>
      <c r="Y127" s="183">
        <f t="shared" si="96"/>
        <v>5.0450968906610216E-2</v>
      </c>
      <c r="Z127" s="184">
        <f t="shared" si="97"/>
        <v>5.9000000000000057</v>
      </c>
      <c r="AA127" s="185">
        <f t="shared" si="98"/>
        <v>3.6623215394165153E-2</v>
      </c>
    </row>
    <row r="128" spans="1:27" x14ac:dyDescent="0.55000000000000004">
      <c r="A128" s="230" t="s">
        <v>121</v>
      </c>
      <c r="B128" s="176">
        <f>INDEX(Data[FY2026 Budget Enrollment],MATCH(A128,Data[Label],0))+INDEX(Data[FY2026 ESA],MATCH(A128,Data[Label],0))</f>
        <v>619.5</v>
      </c>
      <c r="C128" s="218">
        <f>INDEX(Data[FY2026 TSS],MATCH(A128,Data[Label],0))</f>
        <v>1192.23</v>
      </c>
      <c r="D128" s="218">
        <f>INDEX(Data[FY2026 PD],MATCH(A128,Data[Label],0))</f>
        <v>76.709999999999994</v>
      </c>
      <c r="E128" s="218">
        <f>INDEX(Data[FY2026 Early Intervention],MATCH(A128,Data[Label],0))</f>
        <v>68.27</v>
      </c>
      <c r="F128" s="218">
        <f>INDEX(Data[FY2026 TLC],MATCH(A128,Data[Label],0))</f>
        <v>385.29</v>
      </c>
      <c r="G128" s="177">
        <f t="shared" si="83"/>
        <v>738586</v>
      </c>
      <c r="H128" s="177">
        <f t="shared" si="84"/>
        <v>47522</v>
      </c>
      <c r="I128" s="177">
        <f t="shared" si="85"/>
        <v>42293</v>
      </c>
      <c r="J128" s="177">
        <f t="shared" si="86"/>
        <v>238687</v>
      </c>
      <c r="K128" s="177">
        <f>INDEX(Data[FY2026 TSS Budget Guarantee],MATCH(A128,Data[Label],0))+INDEX(Data[FY2026 PD Budget Guarantee],MATCH(A128,Data[Label],0))+INDEX(Data[FY2026 Early Intervention Budget Guarantee],MATCH(A128,Data[Label],0))+INDEX(Data[FY2026 TLC Budget Gurantee],MATCH(A128,Data[Label],0))</f>
        <v>0</v>
      </c>
      <c r="L128" s="177">
        <f t="shared" si="87"/>
        <v>1067088</v>
      </c>
      <c r="M128" s="176">
        <f>INDEX(Data[FY2027 Budget Enrollment],MATCH(A128,Data[Label],0))+INDEX(Data[FY2027 ESAs],MATCH(A128,Data[Label],0))</f>
        <v>662.9</v>
      </c>
      <c r="N128" s="218">
        <f t="shared" si="88"/>
        <v>1205.92</v>
      </c>
      <c r="O128" s="218">
        <f t="shared" si="89"/>
        <v>78.259999999999991</v>
      </c>
      <c r="P128" s="218">
        <f t="shared" si="90"/>
        <v>69.959999999999994</v>
      </c>
      <c r="Q128" s="218">
        <f t="shared" si="91"/>
        <v>393</v>
      </c>
      <c r="R128" s="177">
        <f t="shared" si="99"/>
        <v>799404</v>
      </c>
      <c r="S128" s="177">
        <f t="shared" si="100"/>
        <v>51879</v>
      </c>
      <c r="T128" s="177">
        <f t="shared" si="101"/>
        <v>46376</v>
      </c>
      <c r="U128" s="177">
        <f t="shared" ref="U128" si="154">ROUND($M128*Q128,0)</f>
        <v>260520</v>
      </c>
      <c r="V128" s="177">
        <f t="shared" si="93"/>
        <v>0</v>
      </c>
      <c r="W128" s="177">
        <f t="shared" si="94"/>
        <v>1158179</v>
      </c>
      <c r="X128" s="177">
        <f t="shared" si="95"/>
        <v>91091</v>
      </c>
      <c r="Y128" s="178">
        <f t="shared" si="96"/>
        <v>8.5364093682995218E-2</v>
      </c>
      <c r="Z128" s="179">
        <f t="shared" si="97"/>
        <v>43.399999999999977</v>
      </c>
      <c r="AA128" s="180">
        <f t="shared" si="98"/>
        <v>7.0056497175141202E-2</v>
      </c>
    </row>
    <row r="129" spans="1:27" x14ac:dyDescent="0.55000000000000004">
      <c r="A129" s="229" t="s">
        <v>122</v>
      </c>
      <c r="B129" s="181">
        <f>INDEX(Data[FY2026 Budget Enrollment],MATCH(A129,Data[Label],0))+INDEX(Data[FY2026 ESA],MATCH(A129,Data[Label],0))</f>
        <v>1887.1</v>
      </c>
      <c r="C129" s="91">
        <f>INDEX(Data[FY2026 TSS],MATCH(A129,Data[Label],0))</f>
        <v>821.99</v>
      </c>
      <c r="D129" s="91">
        <f>INDEX(Data[FY2026 PD],MATCH(A129,Data[Label],0))</f>
        <v>71.959999999999994</v>
      </c>
      <c r="E129" s="91">
        <f>INDEX(Data[FY2026 Early Intervention],MATCH(A129,Data[Label],0))</f>
        <v>81.67</v>
      </c>
      <c r="F129" s="91">
        <f>INDEX(Data[FY2026 TLC],MATCH(A129,Data[Label],0))</f>
        <v>385.29</v>
      </c>
      <c r="G129" s="182">
        <f t="shared" si="83"/>
        <v>1551177</v>
      </c>
      <c r="H129" s="182">
        <f t="shared" si="84"/>
        <v>135796</v>
      </c>
      <c r="I129" s="182">
        <f t="shared" si="85"/>
        <v>154119</v>
      </c>
      <c r="J129" s="182">
        <f t="shared" si="86"/>
        <v>727081</v>
      </c>
      <c r="K129" s="182">
        <f>INDEX(Data[FY2026 TSS Budget Guarantee],MATCH(A129,Data[Label],0))+INDEX(Data[FY2026 PD Budget Guarantee],MATCH(A129,Data[Label],0))+INDEX(Data[FY2026 Early Intervention Budget Guarantee],MATCH(A129,Data[Label],0))+INDEX(Data[FY2026 TLC Budget Gurantee],MATCH(A129,Data[Label],0))</f>
        <v>7956</v>
      </c>
      <c r="L129" s="182">
        <f t="shared" si="87"/>
        <v>2576129</v>
      </c>
      <c r="M129" s="181">
        <f>INDEX(Data[FY2027 Budget Enrollment],MATCH(A129,Data[Label],0))+INDEX(Data[FY2027 ESAs],MATCH(A129,Data[Label],0))</f>
        <v>1934</v>
      </c>
      <c r="N129" s="91">
        <f t="shared" si="88"/>
        <v>835.68000000000006</v>
      </c>
      <c r="O129" s="91">
        <f t="shared" si="89"/>
        <v>73.509999999999991</v>
      </c>
      <c r="P129" s="91">
        <f t="shared" si="90"/>
        <v>83.36</v>
      </c>
      <c r="Q129" s="91">
        <f t="shared" si="91"/>
        <v>393</v>
      </c>
      <c r="R129" s="182">
        <f t="shared" si="99"/>
        <v>1616205</v>
      </c>
      <c r="S129" s="182">
        <f t="shared" si="100"/>
        <v>142168</v>
      </c>
      <c r="T129" s="182">
        <f t="shared" si="101"/>
        <v>161218</v>
      </c>
      <c r="U129" s="182">
        <f t="shared" ref="U129" si="155">ROUND($M129*Q129,)</f>
        <v>760062</v>
      </c>
      <c r="V129" s="182">
        <f t="shared" si="93"/>
        <v>0</v>
      </c>
      <c r="W129" s="182">
        <f t="shared" si="94"/>
        <v>2679653</v>
      </c>
      <c r="X129" s="182">
        <f t="shared" si="95"/>
        <v>103524</v>
      </c>
      <c r="Y129" s="183">
        <f t="shared" si="96"/>
        <v>4.0185875784947103E-2</v>
      </c>
      <c r="Z129" s="184">
        <f t="shared" si="97"/>
        <v>46.900000000000091</v>
      </c>
      <c r="AA129" s="185">
        <f t="shared" si="98"/>
        <v>2.4852948969318049E-2</v>
      </c>
    </row>
    <row r="130" spans="1:27" x14ac:dyDescent="0.55000000000000004">
      <c r="A130" s="230" t="s">
        <v>123</v>
      </c>
      <c r="B130" s="176">
        <f>INDEX(Data[FY2026 Budget Enrollment],MATCH(A130,Data[Label],0))+INDEX(Data[FY2026 ESA],MATCH(A130,Data[Label],0))</f>
        <v>330.3</v>
      </c>
      <c r="C130" s="218">
        <f>INDEX(Data[FY2026 TSS],MATCH(A130,Data[Label],0))</f>
        <v>1358.57</v>
      </c>
      <c r="D130" s="218">
        <f>INDEX(Data[FY2026 PD],MATCH(A130,Data[Label],0))</f>
        <v>78.72</v>
      </c>
      <c r="E130" s="218">
        <f>INDEX(Data[FY2026 Early Intervention],MATCH(A130,Data[Label],0))</f>
        <v>81.3</v>
      </c>
      <c r="F130" s="218">
        <f>INDEX(Data[FY2026 TLC],MATCH(A130,Data[Label],0))</f>
        <v>385.29</v>
      </c>
      <c r="G130" s="177">
        <f t="shared" si="83"/>
        <v>448736</v>
      </c>
      <c r="H130" s="177">
        <f t="shared" si="84"/>
        <v>26001</v>
      </c>
      <c r="I130" s="177">
        <f t="shared" si="85"/>
        <v>26853</v>
      </c>
      <c r="J130" s="177">
        <f t="shared" si="86"/>
        <v>127261</v>
      </c>
      <c r="K130" s="177">
        <f>INDEX(Data[FY2026 TSS Budget Guarantee],MATCH(A130,Data[Label],0))+INDEX(Data[FY2026 PD Budget Guarantee],MATCH(A130,Data[Label],0))+INDEX(Data[FY2026 Early Intervention Budget Guarantee],MATCH(A130,Data[Label],0))+INDEX(Data[FY2026 TLC Budget Gurantee],MATCH(A130,Data[Label],0))</f>
        <v>0</v>
      </c>
      <c r="L130" s="177">
        <f t="shared" si="87"/>
        <v>628851</v>
      </c>
      <c r="M130" s="176">
        <f>INDEX(Data[FY2027 Budget Enrollment],MATCH(A130,Data[Label],0))+INDEX(Data[FY2027 ESAs],MATCH(A130,Data[Label],0))</f>
        <v>334.3</v>
      </c>
      <c r="N130" s="218">
        <f t="shared" si="88"/>
        <v>1372.26</v>
      </c>
      <c r="O130" s="218">
        <f t="shared" si="89"/>
        <v>80.27</v>
      </c>
      <c r="P130" s="218">
        <f t="shared" si="90"/>
        <v>82.99</v>
      </c>
      <c r="Q130" s="218">
        <f t="shared" si="91"/>
        <v>393</v>
      </c>
      <c r="R130" s="177">
        <f t="shared" si="99"/>
        <v>458747</v>
      </c>
      <c r="S130" s="177">
        <f t="shared" si="100"/>
        <v>26834</v>
      </c>
      <c r="T130" s="177">
        <f t="shared" si="101"/>
        <v>27744</v>
      </c>
      <c r="U130" s="177">
        <f t="shared" ref="U130" si="156">ROUND($M130*Q130,0)</f>
        <v>131380</v>
      </c>
      <c r="V130" s="177">
        <f t="shared" si="93"/>
        <v>0</v>
      </c>
      <c r="W130" s="177">
        <f t="shared" si="94"/>
        <v>644705</v>
      </c>
      <c r="X130" s="177">
        <f t="shared" si="95"/>
        <v>15854</v>
      </c>
      <c r="Y130" s="178">
        <f t="shared" si="96"/>
        <v>2.5211059535565659E-2</v>
      </c>
      <c r="Z130" s="179">
        <f t="shared" si="97"/>
        <v>4</v>
      </c>
      <c r="AA130" s="180">
        <f t="shared" si="98"/>
        <v>1.2110202845897668E-2</v>
      </c>
    </row>
    <row r="131" spans="1:27" x14ac:dyDescent="0.55000000000000004">
      <c r="A131" s="229" t="s">
        <v>124</v>
      </c>
      <c r="B131" s="181">
        <f>INDEX(Data[FY2026 Budget Enrollment],MATCH(A131,Data[Label],0))+INDEX(Data[FY2026 ESA],MATCH(A131,Data[Label],0))</f>
        <v>382.3</v>
      </c>
      <c r="C131" s="91">
        <f>INDEX(Data[FY2026 TSS],MATCH(A131,Data[Label],0))</f>
        <v>1272.3900000000001</v>
      </c>
      <c r="D131" s="91">
        <f>INDEX(Data[FY2026 PD],MATCH(A131,Data[Label],0))</f>
        <v>70.11</v>
      </c>
      <c r="E131" s="91">
        <f>INDEX(Data[FY2026 Early Intervention],MATCH(A131,Data[Label],0))</f>
        <v>84.29</v>
      </c>
      <c r="F131" s="91">
        <f>INDEX(Data[FY2026 TLC],MATCH(A131,Data[Label],0))</f>
        <v>385.29</v>
      </c>
      <c r="G131" s="182">
        <f t="shared" si="83"/>
        <v>486435</v>
      </c>
      <c r="H131" s="182">
        <f t="shared" si="84"/>
        <v>26803</v>
      </c>
      <c r="I131" s="182">
        <f t="shared" si="85"/>
        <v>32224</v>
      </c>
      <c r="J131" s="182">
        <f t="shared" si="86"/>
        <v>147296</v>
      </c>
      <c r="K131" s="182">
        <f>INDEX(Data[FY2026 TSS Budget Guarantee],MATCH(A131,Data[Label],0))+INDEX(Data[FY2026 PD Budget Guarantee],MATCH(A131,Data[Label],0))+INDEX(Data[FY2026 Early Intervention Budget Guarantee],MATCH(A131,Data[Label],0))+INDEX(Data[FY2026 TLC Budget Gurantee],MATCH(A131,Data[Label],0))</f>
        <v>0</v>
      </c>
      <c r="L131" s="182">
        <f t="shared" si="87"/>
        <v>692758</v>
      </c>
      <c r="M131" s="181">
        <f>INDEX(Data[FY2027 Budget Enrollment],MATCH(A131,Data[Label],0))+INDEX(Data[FY2027 ESAs],MATCH(A131,Data[Label],0))</f>
        <v>383.5</v>
      </c>
      <c r="N131" s="91">
        <f t="shared" si="88"/>
        <v>1286.0800000000002</v>
      </c>
      <c r="O131" s="91">
        <f t="shared" si="89"/>
        <v>71.66</v>
      </c>
      <c r="P131" s="91">
        <f t="shared" si="90"/>
        <v>85.98</v>
      </c>
      <c r="Q131" s="91">
        <f t="shared" si="91"/>
        <v>393</v>
      </c>
      <c r="R131" s="182">
        <f t="shared" si="99"/>
        <v>493212</v>
      </c>
      <c r="S131" s="182">
        <f t="shared" si="100"/>
        <v>27482</v>
      </c>
      <c r="T131" s="182">
        <f t="shared" si="101"/>
        <v>32973</v>
      </c>
      <c r="U131" s="182">
        <f t="shared" ref="U131" si="157">ROUND($M131*Q131,)</f>
        <v>150716</v>
      </c>
      <c r="V131" s="182">
        <f t="shared" si="93"/>
        <v>0</v>
      </c>
      <c r="W131" s="182">
        <f t="shared" si="94"/>
        <v>704383</v>
      </c>
      <c r="X131" s="182">
        <f t="shared" si="95"/>
        <v>11625</v>
      </c>
      <c r="Y131" s="183">
        <f t="shared" si="96"/>
        <v>1.6780751719936832E-2</v>
      </c>
      <c r="Z131" s="184">
        <f t="shared" si="97"/>
        <v>1.1999999999999886</v>
      </c>
      <c r="AA131" s="185">
        <f t="shared" si="98"/>
        <v>3.1388961548521805E-3</v>
      </c>
    </row>
    <row r="132" spans="1:27" x14ac:dyDescent="0.55000000000000004">
      <c r="A132" s="230" t="s">
        <v>125</v>
      </c>
      <c r="B132" s="176">
        <f>INDEX(Data[FY2026 Budget Enrollment],MATCH(A132,Data[Label],0))+INDEX(Data[FY2026 ESA],MATCH(A132,Data[Label],0))</f>
        <v>1206.2</v>
      </c>
      <c r="C132" s="218">
        <f>INDEX(Data[FY2026 TSS],MATCH(A132,Data[Label],0))</f>
        <v>895.22</v>
      </c>
      <c r="D132" s="218">
        <f>INDEX(Data[FY2026 PD],MATCH(A132,Data[Label],0))</f>
        <v>78.92</v>
      </c>
      <c r="E132" s="218">
        <f>INDEX(Data[FY2026 Early Intervention],MATCH(A132,Data[Label],0))</f>
        <v>85.54</v>
      </c>
      <c r="F132" s="218">
        <f>INDEX(Data[FY2026 TLC],MATCH(A132,Data[Label],0))</f>
        <v>385.29</v>
      </c>
      <c r="G132" s="177">
        <f t="shared" si="83"/>
        <v>1079814</v>
      </c>
      <c r="H132" s="177">
        <f t="shared" si="84"/>
        <v>95193</v>
      </c>
      <c r="I132" s="177">
        <f t="shared" si="85"/>
        <v>103178</v>
      </c>
      <c r="J132" s="177">
        <f t="shared" si="86"/>
        <v>464737</v>
      </c>
      <c r="K132" s="177">
        <f>INDEX(Data[FY2026 TSS Budget Guarantee],MATCH(A132,Data[Label],0))+INDEX(Data[FY2026 PD Budget Guarantee],MATCH(A132,Data[Label],0))+INDEX(Data[FY2026 Early Intervention Budget Guarantee],MATCH(A132,Data[Label],0))+INDEX(Data[FY2026 TLC Budget Gurantee],MATCH(A132,Data[Label],0))</f>
        <v>0</v>
      </c>
      <c r="L132" s="177">
        <f t="shared" si="87"/>
        <v>1742922</v>
      </c>
      <c r="M132" s="176">
        <f>INDEX(Data[FY2027 Budget Enrollment],MATCH(A132,Data[Label],0))+INDEX(Data[FY2027 ESAs],MATCH(A132,Data[Label],0))</f>
        <v>1178.2</v>
      </c>
      <c r="N132" s="218">
        <f t="shared" si="88"/>
        <v>908.91000000000008</v>
      </c>
      <c r="O132" s="218">
        <f t="shared" si="89"/>
        <v>80.47</v>
      </c>
      <c r="P132" s="218">
        <f t="shared" si="90"/>
        <v>87.23</v>
      </c>
      <c r="Q132" s="218">
        <f t="shared" si="91"/>
        <v>393</v>
      </c>
      <c r="R132" s="177">
        <f t="shared" si="99"/>
        <v>1070878</v>
      </c>
      <c r="S132" s="177">
        <f t="shared" si="100"/>
        <v>94810</v>
      </c>
      <c r="T132" s="177">
        <f t="shared" si="101"/>
        <v>102774</v>
      </c>
      <c r="U132" s="177">
        <f t="shared" ref="U132" si="158">ROUND($M132*Q132,0)</f>
        <v>463033</v>
      </c>
      <c r="V132" s="177">
        <f t="shared" si="93"/>
        <v>11427</v>
      </c>
      <c r="W132" s="177">
        <f t="shared" si="94"/>
        <v>1742922</v>
      </c>
      <c r="X132" s="177">
        <f t="shared" si="95"/>
        <v>0</v>
      </c>
      <c r="Y132" s="178">
        <f t="shared" si="96"/>
        <v>0</v>
      </c>
      <c r="Z132" s="179">
        <f t="shared" si="97"/>
        <v>-28</v>
      </c>
      <c r="AA132" s="180">
        <f t="shared" si="98"/>
        <v>-2.3213397446526281E-2</v>
      </c>
    </row>
    <row r="133" spans="1:27" x14ac:dyDescent="0.55000000000000004">
      <c r="A133" s="229" t="s">
        <v>126</v>
      </c>
      <c r="B133" s="181">
        <f>INDEX(Data[FY2026 Budget Enrollment],MATCH(A133,Data[Label],0))+INDEX(Data[FY2026 ESA],MATCH(A133,Data[Label],0))</f>
        <v>1554.2</v>
      </c>
      <c r="C133" s="91">
        <f>INDEX(Data[FY2026 TSS],MATCH(A133,Data[Label],0))</f>
        <v>906.25</v>
      </c>
      <c r="D133" s="91">
        <f>INDEX(Data[FY2026 PD],MATCH(A133,Data[Label],0))</f>
        <v>74.27</v>
      </c>
      <c r="E133" s="91">
        <f>INDEX(Data[FY2026 Early Intervention],MATCH(A133,Data[Label],0))</f>
        <v>82.36</v>
      </c>
      <c r="F133" s="91">
        <f>INDEX(Data[FY2026 TLC],MATCH(A133,Data[Label],0))</f>
        <v>385.29</v>
      </c>
      <c r="G133" s="182">
        <f t="shared" si="83"/>
        <v>1408494</v>
      </c>
      <c r="H133" s="182">
        <f t="shared" si="84"/>
        <v>115430</v>
      </c>
      <c r="I133" s="182">
        <f t="shared" si="85"/>
        <v>128004</v>
      </c>
      <c r="J133" s="182">
        <f t="shared" si="86"/>
        <v>598818</v>
      </c>
      <c r="K133" s="182">
        <f>INDEX(Data[FY2026 TSS Budget Guarantee],MATCH(A133,Data[Label],0))+INDEX(Data[FY2026 PD Budget Guarantee],MATCH(A133,Data[Label],0))+INDEX(Data[FY2026 Early Intervention Budget Guarantee],MATCH(A133,Data[Label],0))+INDEX(Data[FY2026 TLC Budget Gurantee],MATCH(A133,Data[Label],0))</f>
        <v>0</v>
      </c>
      <c r="L133" s="182">
        <f t="shared" si="87"/>
        <v>2250746</v>
      </c>
      <c r="M133" s="181">
        <f>INDEX(Data[FY2027 Budget Enrollment],MATCH(A133,Data[Label],0))+INDEX(Data[FY2027 ESAs],MATCH(A133,Data[Label],0))</f>
        <v>1529.7</v>
      </c>
      <c r="N133" s="91">
        <f t="shared" si="88"/>
        <v>919.94</v>
      </c>
      <c r="O133" s="91">
        <f t="shared" si="89"/>
        <v>75.819999999999993</v>
      </c>
      <c r="P133" s="91">
        <f t="shared" si="90"/>
        <v>84.05</v>
      </c>
      <c r="Q133" s="91">
        <f t="shared" si="91"/>
        <v>393</v>
      </c>
      <c r="R133" s="182">
        <f t="shared" si="99"/>
        <v>1407232</v>
      </c>
      <c r="S133" s="182">
        <f t="shared" si="100"/>
        <v>115982</v>
      </c>
      <c r="T133" s="182">
        <f t="shared" si="101"/>
        <v>128571</v>
      </c>
      <c r="U133" s="182">
        <f t="shared" ref="U133" si="159">ROUND($M133*Q133,)</f>
        <v>601172</v>
      </c>
      <c r="V133" s="182">
        <f t="shared" si="93"/>
        <v>1262</v>
      </c>
      <c r="W133" s="182">
        <f t="shared" si="94"/>
        <v>2254219</v>
      </c>
      <c r="X133" s="182">
        <f t="shared" si="95"/>
        <v>3473</v>
      </c>
      <c r="Y133" s="183">
        <f t="shared" si="96"/>
        <v>1.5430439507612144E-3</v>
      </c>
      <c r="Z133" s="184">
        <f t="shared" si="97"/>
        <v>-24.5</v>
      </c>
      <c r="AA133" s="185">
        <f t="shared" si="98"/>
        <v>-1.5763736970788828E-2</v>
      </c>
    </row>
    <row r="134" spans="1:27" x14ac:dyDescent="0.55000000000000004">
      <c r="A134" s="230" t="s">
        <v>127</v>
      </c>
      <c r="B134" s="176">
        <f>INDEX(Data[FY2026 Budget Enrollment],MATCH(A134,Data[Label],0))+INDEX(Data[FY2026 ESA],MATCH(A134,Data[Label],0))</f>
        <v>443.1</v>
      </c>
      <c r="C134" s="218">
        <f>INDEX(Data[FY2026 TSS],MATCH(A134,Data[Label],0))</f>
        <v>1385.73</v>
      </c>
      <c r="D134" s="218">
        <f>INDEX(Data[FY2026 PD],MATCH(A134,Data[Label],0))</f>
        <v>71.010000000000005</v>
      </c>
      <c r="E134" s="218">
        <f>INDEX(Data[FY2026 Early Intervention],MATCH(A134,Data[Label],0))</f>
        <v>72.64</v>
      </c>
      <c r="F134" s="218">
        <f>INDEX(Data[FY2026 TLC],MATCH(A134,Data[Label],0))</f>
        <v>385.29</v>
      </c>
      <c r="G134" s="177">
        <f t="shared" si="83"/>
        <v>614017</v>
      </c>
      <c r="H134" s="177">
        <f t="shared" si="84"/>
        <v>31465</v>
      </c>
      <c r="I134" s="177">
        <f t="shared" si="85"/>
        <v>32187</v>
      </c>
      <c r="J134" s="177">
        <f t="shared" si="86"/>
        <v>170722</v>
      </c>
      <c r="K134" s="177">
        <f>INDEX(Data[FY2026 TSS Budget Guarantee],MATCH(A134,Data[Label],0))+INDEX(Data[FY2026 PD Budget Guarantee],MATCH(A134,Data[Label],0))+INDEX(Data[FY2026 Early Intervention Budget Guarantee],MATCH(A134,Data[Label],0))+INDEX(Data[FY2026 TLC Budget Gurantee],MATCH(A134,Data[Label],0))</f>
        <v>3848</v>
      </c>
      <c r="L134" s="177">
        <f t="shared" si="87"/>
        <v>852239</v>
      </c>
      <c r="M134" s="176">
        <f>INDEX(Data[FY2027 Budget Enrollment],MATCH(A134,Data[Label],0))+INDEX(Data[FY2027 ESAs],MATCH(A134,Data[Label],0))</f>
        <v>415.6</v>
      </c>
      <c r="N134" s="218">
        <f t="shared" si="88"/>
        <v>1399.42</v>
      </c>
      <c r="O134" s="218">
        <f t="shared" si="89"/>
        <v>72.56</v>
      </c>
      <c r="P134" s="218">
        <f t="shared" si="90"/>
        <v>74.33</v>
      </c>
      <c r="Q134" s="218">
        <f t="shared" si="91"/>
        <v>393</v>
      </c>
      <c r="R134" s="177">
        <f t="shared" si="99"/>
        <v>581599</v>
      </c>
      <c r="S134" s="177">
        <f t="shared" si="100"/>
        <v>30156</v>
      </c>
      <c r="T134" s="177">
        <f t="shared" si="101"/>
        <v>30892</v>
      </c>
      <c r="U134" s="177">
        <f t="shared" ref="U134" si="160">ROUND($M134*Q134,0)</f>
        <v>163331</v>
      </c>
      <c r="V134" s="177">
        <f t="shared" si="93"/>
        <v>42413</v>
      </c>
      <c r="W134" s="177">
        <f t="shared" si="94"/>
        <v>848391</v>
      </c>
      <c r="X134" s="177">
        <f t="shared" si="95"/>
        <v>-3848</v>
      </c>
      <c r="Y134" s="178">
        <f t="shared" si="96"/>
        <v>-4.5151653468099911E-3</v>
      </c>
      <c r="Z134" s="179">
        <f t="shared" si="97"/>
        <v>-27.5</v>
      </c>
      <c r="AA134" s="180">
        <f t="shared" si="98"/>
        <v>-6.206273978785827E-2</v>
      </c>
    </row>
    <row r="135" spans="1:27" x14ac:dyDescent="0.55000000000000004">
      <c r="A135" s="229" t="s">
        <v>128</v>
      </c>
      <c r="B135" s="181">
        <f>INDEX(Data[FY2026 Budget Enrollment],MATCH(A135,Data[Label],0))+INDEX(Data[FY2026 ESA],MATCH(A135,Data[Label],0))</f>
        <v>686</v>
      </c>
      <c r="C135" s="91">
        <f>INDEX(Data[FY2026 TSS],MATCH(A135,Data[Label],0))</f>
        <v>1144.2</v>
      </c>
      <c r="D135" s="91">
        <f>INDEX(Data[FY2026 PD],MATCH(A135,Data[Label],0))</f>
        <v>79.510000000000005</v>
      </c>
      <c r="E135" s="91">
        <f>INDEX(Data[FY2026 Early Intervention],MATCH(A135,Data[Label],0))</f>
        <v>73.91</v>
      </c>
      <c r="F135" s="91">
        <f>INDEX(Data[FY2026 TLC],MATCH(A135,Data[Label],0))</f>
        <v>385.29</v>
      </c>
      <c r="G135" s="182">
        <f t="shared" si="83"/>
        <v>784921</v>
      </c>
      <c r="H135" s="182">
        <f t="shared" si="84"/>
        <v>54544</v>
      </c>
      <c r="I135" s="182">
        <f t="shared" si="85"/>
        <v>50702</v>
      </c>
      <c r="J135" s="182">
        <f t="shared" si="86"/>
        <v>264309</v>
      </c>
      <c r="K135" s="182">
        <f>INDEX(Data[FY2026 TSS Budget Guarantee],MATCH(A135,Data[Label],0))+INDEX(Data[FY2026 PD Budget Guarantee],MATCH(A135,Data[Label],0))+INDEX(Data[FY2026 Early Intervention Budget Guarantee],MATCH(A135,Data[Label],0))+INDEX(Data[FY2026 TLC Budget Gurantee],MATCH(A135,Data[Label],0))</f>
        <v>0</v>
      </c>
      <c r="L135" s="182">
        <f t="shared" si="87"/>
        <v>1154476</v>
      </c>
      <c r="M135" s="181">
        <f>INDEX(Data[FY2027 Budget Enrollment],MATCH(A135,Data[Label],0))+INDEX(Data[FY2027 ESAs],MATCH(A135,Data[Label],0))</f>
        <v>668.1</v>
      </c>
      <c r="N135" s="91">
        <f t="shared" si="88"/>
        <v>1157.8900000000001</v>
      </c>
      <c r="O135" s="91">
        <f t="shared" si="89"/>
        <v>81.06</v>
      </c>
      <c r="P135" s="91">
        <f t="shared" si="90"/>
        <v>75.599999999999994</v>
      </c>
      <c r="Q135" s="91">
        <f t="shared" si="91"/>
        <v>393</v>
      </c>
      <c r="R135" s="182">
        <f t="shared" si="99"/>
        <v>773586</v>
      </c>
      <c r="S135" s="182">
        <f t="shared" si="100"/>
        <v>54156</v>
      </c>
      <c r="T135" s="182">
        <f t="shared" si="101"/>
        <v>50508</v>
      </c>
      <c r="U135" s="182">
        <f t="shared" ref="U135" si="161">ROUND($M135*Q135,)</f>
        <v>262563</v>
      </c>
      <c r="V135" s="182">
        <f t="shared" si="93"/>
        <v>13663</v>
      </c>
      <c r="W135" s="182">
        <f t="shared" si="94"/>
        <v>1154476</v>
      </c>
      <c r="X135" s="182">
        <f t="shared" si="95"/>
        <v>0</v>
      </c>
      <c r="Y135" s="183">
        <f t="shared" si="96"/>
        <v>0</v>
      </c>
      <c r="Z135" s="184">
        <f t="shared" si="97"/>
        <v>-17.899999999999977</v>
      </c>
      <c r="AA135" s="185">
        <f t="shared" si="98"/>
        <v>-2.6093294460641365E-2</v>
      </c>
    </row>
    <row r="136" spans="1:27" x14ac:dyDescent="0.55000000000000004">
      <c r="A136" s="230" t="s">
        <v>129</v>
      </c>
      <c r="B136" s="176">
        <f>INDEX(Data[FY2026 Budget Enrollment],MATCH(A136,Data[Label],0))+INDEX(Data[FY2026 ESA],MATCH(A136,Data[Label],0))</f>
        <v>388.2</v>
      </c>
      <c r="C136" s="218">
        <f>INDEX(Data[FY2026 TSS],MATCH(A136,Data[Label],0))</f>
        <v>1503.16</v>
      </c>
      <c r="D136" s="218">
        <f>INDEX(Data[FY2026 PD],MATCH(A136,Data[Label],0))</f>
        <v>73.900000000000006</v>
      </c>
      <c r="E136" s="218">
        <f>INDEX(Data[FY2026 Early Intervention],MATCH(A136,Data[Label],0))</f>
        <v>86.85</v>
      </c>
      <c r="F136" s="218">
        <f>INDEX(Data[FY2026 TLC],MATCH(A136,Data[Label],0))</f>
        <v>385.29</v>
      </c>
      <c r="G136" s="177">
        <f t="shared" si="83"/>
        <v>583527</v>
      </c>
      <c r="H136" s="177">
        <f t="shared" si="84"/>
        <v>28688</v>
      </c>
      <c r="I136" s="177">
        <f t="shared" si="85"/>
        <v>33715</v>
      </c>
      <c r="J136" s="177">
        <f t="shared" si="86"/>
        <v>149570</v>
      </c>
      <c r="K136" s="177">
        <f>INDEX(Data[FY2026 TSS Budget Guarantee],MATCH(A136,Data[Label],0))+INDEX(Data[FY2026 PD Budget Guarantee],MATCH(A136,Data[Label],0))+INDEX(Data[FY2026 Early Intervention Budget Guarantee],MATCH(A136,Data[Label],0))+INDEX(Data[FY2026 TLC Budget Gurantee],MATCH(A136,Data[Label],0))</f>
        <v>0</v>
      </c>
      <c r="L136" s="177">
        <f t="shared" si="87"/>
        <v>795500</v>
      </c>
      <c r="M136" s="176">
        <f>INDEX(Data[FY2027 Budget Enrollment],MATCH(A136,Data[Label],0))+INDEX(Data[FY2027 ESAs],MATCH(A136,Data[Label],0))</f>
        <v>384.9</v>
      </c>
      <c r="N136" s="218">
        <f t="shared" si="88"/>
        <v>1516.8500000000001</v>
      </c>
      <c r="O136" s="218">
        <f t="shared" si="89"/>
        <v>75.45</v>
      </c>
      <c r="P136" s="218">
        <f t="shared" si="90"/>
        <v>88.539999999999992</v>
      </c>
      <c r="Q136" s="218">
        <f t="shared" si="91"/>
        <v>393</v>
      </c>
      <c r="R136" s="177">
        <f t="shared" si="99"/>
        <v>583836</v>
      </c>
      <c r="S136" s="177">
        <f t="shared" si="100"/>
        <v>29041</v>
      </c>
      <c r="T136" s="177">
        <f t="shared" si="101"/>
        <v>34079</v>
      </c>
      <c r="U136" s="177">
        <f t="shared" ref="U136" si="162">ROUND($M136*Q136,0)</f>
        <v>151266</v>
      </c>
      <c r="V136" s="177">
        <f t="shared" si="93"/>
        <v>0</v>
      </c>
      <c r="W136" s="177">
        <f t="shared" si="94"/>
        <v>798222</v>
      </c>
      <c r="X136" s="177">
        <f t="shared" si="95"/>
        <v>2722</v>
      </c>
      <c r="Y136" s="178">
        <f t="shared" si="96"/>
        <v>3.4217473287240729E-3</v>
      </c>
      <c r="Z136" s="179">
        <f t="shared" si="97"/>
        <v>-3.3000000000000114</v>
      </c>
      <c r="AA136" s="180">
        <f t="shared" si="98"/>
        <v>-8.5007727975270776E-3</v>
      </c>
    </row>
    <row r="137" spans="1:27" x14ac:dyDescent="0.55000000000000004">
      <c r="A137" s="229" t="s">
        <v>130</v>
      </c>
      <c r="B137" s="181">
        <f>INDEX(Data[FY2026 Budget Enrollment],MATCH(A137,Data[Label],0))+INDEX(Data[FY2026 ESA],MATCH(A137,Data[Label],0))</f>
        <v>309</v>
      </c>
      <c r="C137" s="91">
        <f>INDEX(Data[FY2026 TSS],MATCH(A137,Data[Label],0))</f>
        <v>1393.76</v>
      </c>
      <c r="D137" s="91">
        <f>INDEX(Data[FY2026 PD],MATCH(A137,Data[Label],0))</f>
        <v>74.28</v>
      </c>
      <c r="E137" s="91">
        <f>INDEX(Data[FY2026 Early Intervention],MATCH(A137,Data[Label],0))</f>
        <v>76.319999999999993</v>
      </c>
      <c r="F137" s="91">
        <f>INDEX(Data[FY2026 TLC],MATCH(A137,Data[Label],0))</f>
        <v>385.29</v>
      </c>
      <c r="G137" s="182">
        <f t="shared" si="83"/>
        <v>430672</v>
      </c>
      <c r="H137" s="182">
        <f t="shared" si="84"/>
        <v>22953</v>
      </c>
      <c r="I137" s="182">
        <f t="shared" si="85"/>
        <v>23583</v>
      </c>
      <c r="J137" s="182">
        <f t="shared" si="86"/>
        <v>119055</v>
      </c>
      <c r="K137" s="182">
        <f>INDEX(Data[FY2026 TSS Budget Guarantee],MATCH(A137,Data[Label],0))+INDEX(Data[FY2026 PD Budget Guarantee],MATCH(A137,Data[Label],0))+INDEX(Data[FY2026 Early Intervention Budget Guarantee],MATCH(A137,Data[Label],0))+INDEX(Data[FY2026 TLC Budget Gurantee],MATCH(A137,Data[Label],0))</f>
        <v>779</v>
      </c>
      <c r="L137" s="182">
        <f t="shared" si="87"/>
        <v>597042</v>
      </c>
      <c r="M137" s="181">
        <f>INDEX(Data[FY2027 Budget Enrollment],MATCH(A137,Data[Label],0))+INDEX(Data[FY2027 ESAs],MATCH(A137,Data[Label],0))</f>
        <v>312</v>
      </c>
      <c r="N137" s="91">
        <f t="shared" si="88"/>
        <v>1407.45</v>
      </c>
      <c r="O137" s="91">
        <f t="shared" si="89"/>
        <v>75.83</v>
      </c>
      <c r="P137" s="91">
        <f t="shared" si="90"/>
        <v>78.009999999999991</v>
      </c>
      <c r="Q137" s="91">
        <f t="shared" si="91"/>
        <v>393</v>
      </c>
      <c r="R137" s="182">
        <f t="shared" si="99"/>
        <v>439124</v>
      </c>
      <c r="S137" s="182">
        <f t="shared" si="100"/>
        <v>23659</v>
      </c>
      <c r="T137" s="182">
        <f t="shared" si="101"/>
        <v>24339</v>
      </c>
      <c r="U137" s="182">
        <f t="shared" ref="U137" si="163">ROUND($M137*Q137,)</f>
        <v>122616</v>
      </c>
      <c r="V137" s="182">
        <f t="shared" si="93"/>
        <v>0</v>
      </c>
      <c r="W137" s="182">
        <f t="shared" si="94"/>
        <v>609738</v>
      </c>
      <c r="X137" s="182">
        <f t="shared" si="95"/>
        <v>12696</v>
      </c>
      <c r="Y137" s="183">
        <f t="shared" si="96"/>
        <v>2.1264835639703741E-2</v>
      </c>
      <c r="Z137" s="184">
        <f t="shared" si="97"/>
        <v>3</v>
      </c>
      <c r="AA137" s="185">
        <f t="shared" si="98"/>
        <v>9.7087378640776691E-3</v>
      </c>
    </row>
    <row r="138" spans="1:27" x14ac:dyDescent="0.55000000000000004">
      <c r="A138" s="230" t="s">
        <v>131</v>
      </c>
      <c r="B138" s="176">
        <f>INDEX(Data[FY2026 Budget Enrollment],MATCH(A138,Data[Label],0))+INDEX(Data[FY2026 ESA],MATCH(A138,Data[Label],0))</f>
        <v>203</v>
      </c>
      <c r="C138" s="218">
        <f>INDEX(Data[FY2026 TSS],MATCH(A138,Data[Label],0))</f>
        <v>1527.07</v>
      </c>
      <c r="D138" s="218">
        <f>INDEX(Data[FY2026 PD],MATCH(A138,Data[Label],0))</f>
        <v>73.11</v>
      </c>
      <c r="E138" s="218">
        <f>INDEX(Data[FY2026 Early Intervention],MATCH(A138,Data[Label],0))</f>
        <v>82.16</v>
      </c>
      <c r="F138" s="218">
        <f>INDEX(Data[FY2026 TLC],MATCH(A138,Data[Label],0))</f>
        <v>385.29</v>
      </c>
      <c r="G138" s="177">
        <f t="shared" si="83"/>
        <v>309995</v>
      </c>
      <c r="H138" s="177">
        <f t="shared" si="84"/>
        <v>14841</v>
      </c>
      <c r="I138" s="177">
        <f t="shared" si="85"/>
        <v>16678</v>
      </c>
      <c r="J138" s="177">
        <f t="shared" si="86"/>
        <v>78214</v>
      </c>
      <c r="K138" s="177">
        <f>INDEX(Data[FY2026 TSS Budget Guarantee],MATCH(A138,Data[Label],0))+INDEX(Data[FY2026 PD Budget Guarantee],MATCH(A138,Data[Label],0))+INDEX(Data[FY2026 Early Intervention Budget Guarantee],MATCH(A138,Data[Label],0))+INDEX(Data[FY2026 TLC Budget Gurantee],MATCH(A138,Data[Label],0))</f>
        <v>472</v>
      </c>
      <c r="L138" s="177">
        <f t="shared" si="87"/>
        <v>420200</v>
      </c>
      <c r="M138" s="176">
        <f>INDEX(Data[FY2027 Budget Enrollment],MATCH(A138,Data[Label],0))+INDEX(Data[FY2027 ESAs],MATCH(A138,Data[Label],0))</f>
        <v>215</v>
      </c>
      <c r="N138" s="218">
        <f t="shared" si="88"/>
        <v>1540.76</v>
      </c>
      <c r="O138" s="218">
        <f t="shared" si="89"/>
        <v>74.66</v>
      </c>
      <c r="P138" s="218">
        <f t="shared" si="90"/>
        <v>83.85</v>
      </c>
      <c r="Q138" s="218">
        <f t="shared" si="91"/>
        <v>393</v>
      </c>
      <c r="R138" s="177">
        <f t="shared" si="99"/>
        <v>331263</v>
      </c>
      <c r="S138" s="177">
        <f t="shared" si="100"/>
        <v>16052</v>
      </c>
      <c r="T138" s="177">
        <f t="shared" si="101"/>
        <v>18028</v>
      </c>
      <c r="U138" s="177">
        <f t="shared" ref="U138" si="164">ROUND($M138*Q138,0)</f>
        <v>84495</v>
      </c>
      <c r="V138" s="177">
        <f t="shared" si="93"/>
        <v>0</v>
      </c>
      <c r="W138" s="177">
        <f t="shared" si="94"/>
        <v>449838</v>
      </c>
      <c r="X138" s="177">
        <f t="shared" si="95"/>
        <v>29638</v>
      </c>
      <c r="Y138" s="178">
        <f t="shared" si="96"/>
        <v>7.0533079485959063E-2</v>
      </c>
      <c r="Z138" s="179">
        <f t="shared" si="97"/>
        <v>12</v>
      </c>
      <c r="AA138" s="180">
        <f t="shared" si="98"/>
        <v>5.9113300492610835E-2</v>
      </c>
    </row>
    <row r="139" spans="1:27" x14ac:dyDescent="0.55000000000000004">
      <c r="A139" s="229" t="s">
        <v>132</v>
      </c>
      <c r="B139" s="181">
        <f>INDEX(Data[FY2026 Budget Enrollment],MATCH(A139,Data[Label],0))+INDEX(Data[FY2026 ESA],MATCH(A139,Data[Label],0))</f>
        <v>1101.8</v>
      </c>
      <c r="C139" s="91">
        <f>INDEX(Data[FY2026 TSS],MATCH(A139,Data[Label],0))</f>
        <v>876.4</v>
      </c>
      <c r="D139" s="91">
        <f>INDEX(Data[FY2026 PD],MATCH(A139,Data[Label],0))</f>
        <v>77.33</v>
      </c>
      <c r="E139" s="91">
        <f>INDEX(Data[FY2026 Early Intervention],MATCH(A139,Data[Label],0))</f>
        <v>90.86</v>
      </c>
      <c r="F139" s="91">
        <f>INDEX(Data[FY2026 TLC],MATCH(A139,Data[Label],0))</f>
        <v>385.29</v>
      </c>
      <c r="G139" s="182">
        <f t="shared" ref="G139:G202" si="165">ROUND($B139*C139,0)</f>
        <v>965618</v>
      </c>
      <c r="H139" s="182">
        <f t="shared" ref="H139:H202" si="166">ROUND($B139*D139,0)</f>
        <v>85202</v>
      </c>
      <c r="I139" s="182">
        <f t="shared" ref="I139:I202" si="167">ROUND($B139*E139,0)</f>
        <v>100110</v>
      </c>
      <c r="J139" s="182">
        <f t="shared" ref="J139:J202" si="168">ROUND($B139*F139,0)</f>
        <v>424513</v>
      </c>
      <c r="K139" s="182">
        <f>INDEX(Data[FY2026 TSS Budget Guarantee],MATCH(A139,Data[Label],0))+INDEX(Data[FY2026 PD Budget Guarantee],MATCH(A139,Data[Label],0))+INDEX(Data[FY2026 Early Intervention Budget Guarantee],MATCH(A139,Data[Label],0))+INDEX(Data[FY2026 TLC Budget Gurantee],MATCH(A139,Data[Label],0))</f>
        <v>0</v>
      </c>
      <c r="L139" s="182">
        <f t="shared" ref="L139:L202" si="169">G139+H139+I139+J139+K139</f>
        <v>1575443</v>
      </c>
      <c r="M139" s="181">
        <f>INDEX(Data[FY2027 Budget Enrollment],MATCH(A139,Data[Label],0))+INDEX(Data[FY2027 ESAs],MATCH(A139,Data[Label],0))</f>
        <v>1064.5</v>
      </c>
      <c r="N139" s="91">
        <f t="shared" ref="N139:N202" si="170">C139+ROUND(684.47*$B$6,2)</f>
        <v>890.09</v>
      </c>
      <c r="O139" s="91">
        <f t="shared" ref="O139:O202" si="171">D139+ROUND(77.52*$B$6,2)</f>
        <v>78.88</v>
      </c>
      <c r="P139" s="91">
        <f t="shared" ref="P139:P202" si="172">E139+ROUND(84.44*$B$6,2)</f>
        <v>92.55</v>
      </c>
      <c r="Q139" s="91">
        <f t="shared" ref="Q139:Q202" si="173">F139+ROUND(F139*$B$6,2)</f>
        <v>393</v>
      </c>
      <c r="R139" s="182">
        <f t="shared" si="99"/>
        <v>947501</v>
      </c>
      <c r="S139" s="182">
        <f t="shared" si="100"/>
        <v>83968</v>
      </c>
      <c r="T139" s="182">
        <f t="shared" si="101"/>
        <v>98519</v>
      </c>
      <c r="U139" s="182">
        <f t="shared" ref="U139" si="174">ROUND($M139*Q139,)</f>
        <v>418349</v>
      </c>
      <c r="V139" s="182">
        <f t="shared" ref="V139:V202" si="175">ROUND(MAX((G139-R139),0),0)+ROUND(MAX((H139-S139),0),0)+ROUND(MAX((I139-T139),0),0)+ROUND(MAX((J139-U139),0),0)</f>
        <v>27106</v>
      </c>
      <c r="W139" s="182">
        <f t="shared" ref="W139:W202" si="176">SUM(R139:U139)+V139</f>
        <v>1575443</v>
      </c>
      <c r="X139" s="182">
        <f t="shared" ref="X139:X202" si="177">W139-L139</f>
        <v>0</v>
      </c>
      <c r="Y139" s="183">
        <f t="shared" ref="Y139:Y202" si="178">X139/L139</f>
        <v>0</v>
      </c>
      <c r="Z139" s="184">
        <f t="shared" ref="Z139:Z202" si="179">M139-B139</f>
        <v>-37.299999999999955</v>
      </c>
      <c r="AA139" s="185">
        <f t="shared" ref="AA139:AA202" si="180">Z139/B139</f>
        <v>-3.3853693955345758E-2</v>
      </c>
    </row>
    <row r="140" spans="1:27" x14ac:dyDescent="0.55000000000000004">
      <c r="A140" s="230" t="s">
        <v>133</v>
      </c>
      <c r="B140" s="176">
        <f>INDEX(Data[FY2026 Budget Enrollment],MATCH(A140,Data[Label],0))+INDEX(Data[FY2026 ESA],MATCH(A140,Data[Label],0))</f>
        <v>1406.7</v>
      </c>
      <c r="C140" s="218">
        <f>INDEX(Data[FY2026 TSS],MATCH(A140,Data[Label],0))</f>
        <v>827.54</v>
      </c>
      <c r="D140" s="218">
        <f>INDEX(Data[FY2026 PD],MATCH(A140,Data[Label],0))</f>
        <v>79.959999999999994</v>
      </c>
      <c r="E140" s="218">
        <f>INDEX(Data[FY2026 Early Intervention],MATCH(A140,Data[Label],0))</f>
        <v>80.37</v>
      </c>
      <c r="F140" s="218">
        <f>INDEX(Data[FY2026 TLC],MATCH(A140,Data[Label],0))</f>
        <v>385.29</v>
      </c>
      <c r="G140" s="177">
        <f t="shared" si="165"/>
        <v>1164101</v>
      </c>
      <c r="H140" s="177">
        <f t="shared" si="166"/>
        <v>112480</v>
      </c>
      <c r="I140" s="177">
        <f t="shared" si="167"/>
        <v>113056</v>
      </c>
      <c r="J140" s="177">
        <f t="shared" si="168"/>
        <v>541987</v>
      </c>
      <c r="K140" s="177">
        <f>INDEX(Data[FY2026 TSS Budget Guarantee],MATCH(A140,Data[Label],0))+INDEX(Data[FY2026 PD Budget Guarantee],MATCH(A140,Data[Label],0))+INDEX(Data[FY2026 Early Intervention Budget Guarantee],MATCH(A140,Data[Label],0))+INDEX(Data[FY2026 TLC Budget Gurantee],MATCH(A140,Data[Label],0))</f>
        <v>0</v>
      </c>
      <c r="L140" s="177">
        <f t="shared" si="169"/>
        <v>1931624</v>
      </c>
      <c r="M140" s="176">
        <f>INDEX(Data[FY2027 Budget Enrollment],MATCH(A140,Data[Label],0))+INDEX(Data[FY2027 ESAs],MATCH(A140,Data[Label],0))</f>
        <v>1377.1</v>
      </c>
      <c r="N140" s="218">
        <f t="shared" si="170"/>
        <v>841.23</v>
      </c>
      <c r="O140" s="218">
        <f t="shared" si="171"/>
        <v>81.509999999999991</v>
      </c>
      <c r="P140" s="218">
        <f t="shared" si="172"/>
        <v>82.06</v>
      </c>
      <c r="Q140" s="218">
        <f t="shared" si="173"/>
        <v>393</v>
      </c>
      <c r="R140" s="177">
        <f t="shared" ref="R140:R203" si="181">ROUND($M140*N140,0)</f>
        <v>1158458</v>
      </c>
      <c r="S140" s="177">
        <f t="shared" ref="S140:S203" si="182">ROUND($M140*O140,0)</f>
        <v>112247</v>
      </c>
      <c r="T140" s="177">
        <f t="shared" ref="T140:T203" si="183">ROUND($M140*P140,0)</f>
        <v>113005</v>
      </c>
      <c r="U140" s="177">
        <f t="shared" ref="U140" si="184">ROUND($M140*Q140,0)</f>
        <v>541200</v>
      </c>
      <c r="V140" s="177">
        <f t="shared" si="175"/>
        <v>6714</v>
      </c>
      <c r="W140" s="177">
        <f t="shared" si="176"/>
        <v>1931624</v>
      </c>
      <c r="X140" s="177">
        <f t="shared" si="177"/>
        <v>0</v>
      </c>
      <c r="Y140" s="178">
        <f t="shared" si="178"/>
        <v>0</v>
      </c>
      <c r="Z140" s="179">
        <f t="shared" si="179"/>
        <v>-29.600000000000136</v>
      </c>
      <c r="AA140" s="180">
        <f t="shared" si="180"/>
        <v>-2.1042155399161253E-2</v>
      </c>
    </row>
    <row r="141" spans="1:27" x14ac:dyDescent="0.55000000000000004">
      <c r="A141" s="229" t="s">
        <v>134</v>
      </c>
      <c r="B141" s="181">
        <f>INDEX(Data[FY2026 Budget Enrollment],MATCH(A141,Data[Label],0))+INDEX(Data[FY2026 ESA],MATCH(A141,Data[Label],0))</f>
        <v>299</v>
      </c>
      <c r="C141" s="91">
        <f>INDEX(Data[FY2026 TSS],MATCH(A141,Data[Label],0))</f>
        <v>1693.63</v>
      </c>
      <c r="D141" s="91">
        <f>INDEX(Data[FY2026 PD],MATCH(A141,Data[Label],0))</f>
        <v>75.150000000000006</v>
      </c>
      <c r="E141" s="91">
        <f>INDEX(Data[FY2026 Early Intervention],MATCH(A141,Data[Label],0))</f>
        <v>95.05</v>
      </c>
      <c r="F141" s="91">
        <f>INDEX(Data[FY2026 TLC],MATCH(A141,Data[Label],0))</f>
        <v>385.29</v>
      </c>
      <c r="G141" s="182">
        <f t="shared" si="165"/>
        <v>506395</v>
      </c>
      <c r="H141" s="182">
        <f t="shared" si="166"/>
        <v>22470</v>
      </c>
      <c r="I141" s="182">
        <f t="shared" si="167"/>
        <v>28420</v>
      </c>
      <c r="J141" s="182">
        <f t="shared" si="168"/>
        <v>115202</v>
      </c>
      <c r="K141" s="182">
        <f>INDEX(Data[FY2026 TSS Budget Guarantee],MATCH(A141,Data[Label],0))+INDEX(Data[FY2026 PD Budget Guarantee],MATCH(A141,Data[Label],0))+INDEX(Data[FY2026 Early Intervention Budget Guarantee],MATCH(A141,Data[Label],0))+INDEX(Data[FY2026 TLC Budget Gurantee],MATCH(A141,Data[Label],0))</f>
        <v>0</v>
      </c>
      <c r="L141" s="182">
        <f t="shared" si="169"/>
        <v>672487</v>
      </c>
      <c r="M141" s="181">
        <f>INDEX(Data[FY2027 Budget Enrollment],MATCH(A141,Data[Label],0))+INDEX(Data[FY2027 ESAs],MATCH(A141,Data[Label],0))</f>
        <v>284</v>
      </c>
      <c r="N141" s="91">
        <f t="shared" si="170"/>
        <v>1707.3200000000002</v>
      </c>
      <c r="O141" s="91">
        <f t="shared" si="171"/>
        <v>76.7</v>
      </c>
      <c r="P141" s="91">
        <f t="shared" si="172"/>
        <v>96.74</v>
      </c>
      <c r="Q141" s="91">
        <f t="shared" si="173"/>
        <v>393</v>
      </c>
      <c r="R141" s="182">
        <f t="shared" si="181"/>
        <v>484879</v>
      </c>
      <c r="S141" s="182">
        <f t="shared" si="182"/>
        <v>21783</v>
      </c>
      <c r="T141" s="182">
        <f t="shared" si="183"/>
        <v>27474</v>
      </c>
      <c r="U141" s="182">
        <f t="shared" ref="U141" si="185">ROUND($M141*Q141,)</f>
        <v>111612</v>
      </c>
      <c r="V141" s="182">
        <f t="shared" si="175"/>
        <v>26739</v>
      </c>
      <c r="W141" s="182">
        <f t="shared" si="176"/>
        <v>672487</v>
      </c>
      <c r="X141" s="182">
        <f t="shared" si="177"/>
        <v>0</v>
      </c>
      <c r="Y141" s="183">
        <f t="shared" si="178"/>
        <v>0</v>
      </c>
      <c r="Z141" s="184">
        <f t="shared" si="179"/>
        <v>-15</v>
      </c>
      <c r="AA141" s="185">
        <f t="shared" si="180"/>
        <v>-5.016722408026756E-2</v>
      </c>
    </row>
    <row r="142" spans="1:27" x14ac:dyDescent="0.55000000000000004">
      <c r="A142" s="230" t="s">
        <v>135</v>
      </c>
      <c r="B142" s="176">
        <f>INDEX(Data[FY2026 Budget Enrollment],MATCH(A142,Data[Label],0))+INDEX(Data[FY2026 ESA],MATCH(A142,Data[Label],0))</f>
        <v>755.1</v>
      </c>
      <c r="C142" s="218">
        <f>INDEX(Data[FY2026 TSS],MATCH(A142,Data[Label],0))</f>
        <v>1107.92</v>
      </c>
      <c r="D142" s="218">
        <f>INDEX(Data[FY2026 PD],MATCH(A142,Data[Label],0))</f>
        <v>78.08</v>
      </c>
      <c r="E142" s="218">
        <f>INDEX(Data[FY2026 Early Intervention],MATCH(A142,Data[Label],0))</f>
        <v>74.66</v>
      </c>
      <c r="F142" s="218">
        <f>INDEX(Data[FY2026 TLC],MATCH(A142,Data[Label],0))</f>
        <v>385.29</v>
      </c>
      <c r="G142" s="177">
        <f t="shared" si="165"/>
        <v>836590</v>
      </c>
      <c r="H142" s="177">
        <f t="shared" si="166"/>
        <v>58958</v>
      </c>
      <c r="I142" s="177">
        <f t="shared" si="167"/>
        <v>56376</v>
      </c>
      <c r="J142" s="177">
        <f t="shared" si="168"/>
        <v>290932</v>
      </c>
      <c r="K142" s="177">
        <f>INDEX(Data[FY2026 TSS Budget Guarantee],MATCH(A142,Data[Label],0))+INDEX(Data[FY2026 PD Budget Guarantee],MATCH(A142,Data[Label],0))+INDEX(Data[FY2026 Early Intervention Budget Guarantee],MATCH(A142,Data[Label],0))+INDEX(Data[FY2026 TLC Budget Gurantee],MATCH(A142,Data[Label],0))</f>
        <v>0</v>
      </c>
      <c r="L142" s="177">
        <f t="shared" si="169"/>
        <v>1242856</v>
      </c>
      <c r="M142" s="176">
        <f>INDEX(Data[FY2027 Budget Enrollment],MATCH(A142,Data[Label],0))+INDEX(Data[FY2027 ESAs],MATCH(A142,Data[Label],0))</f>
        <v>747.1</v>
      </c>
      <c r="N142" s="218">
        <f t="shared" si="170"/>
        <v>1121.6100000000001</v>
      </c>
      <c r="O142" s="218">
        <f t="shared" si="171"/>
        <v>79.63</v>
      </c>
      <c r="P142" s="218">
        <f t="shared" si="172"/>
        <v>76.349999999999994</v>
      </c>
      <c r="Q142" s="218">
        <f t="shared" si="173"/>
        <v>393</v>
      </c>
      <c r="R142" s="177">
        <f t="shared" si="181"/>
        <v>837955</v>
      </c>
      <c r="S142" s="177">
        <f t="shared" si="182"/>
        <v>59492</v>
      </c>
      <c r="T142" s="177">
        <f t="shared" si="183"/>
        <v>57041</v>
      </c>
      <c r="U142" s="177">
        <f t="shared" ref="U142" si="186">ROUND($M142*Q142,0)</f>
        <v>293610</v>
      </c>
      <c r="V142" s="177">
        <f t="shared" si="175"/>
        <v>0</v>
      </c>
      <c r="W142" s="177">
        <f t="shared" si="176"/>
        <v>1248098</v>
      </c>
      <c r="X142" s="177">
        <f t="shared" si="177"/>
        <v>5242</v>
      </c>
      <c r="Y142" s="178">
        <f t="shared" si="178"/>
        <v>4.2177050277747378E-3</v>
      </c>
      <c r="Z142" s="179">
        <f t="shared" si="179"/>
        <v>-8</v>
      </c>
      <c r="AA142" s="180">
        <f t="shared" si="180"/>
        <v>-1.0594623228711429E-2</v>
      </c>
    </row>
    <row r="143" spans="1:27" x14ac:dyDescent="0.55000000000000004">
      <c r="A143" s="229" t="s">
        <v>136</v>
      </c>
      <c r="B143" s="181">
        <f>INDEX(Data[FY2026 Budget Enrollment],MATCH(A143,Data[Label],0))+INDEX(Data[FY2026 ESA],MATCH(A143,Data[Label],0))</f>
        <v>565.79999999999995</v>
      </c>
      <c r="C143" s="91">
        <f>INDEX(Data[FY2026 TSS],MATCH(A143,Data[Label],0))</f>
        <v>1271.8399999999999</v>
      </c>
      <c r="D143" s="91">
        <f>INDEX(Data[FY2026 PD],MATCH(A143,Data[Label],0))</f>
        <v>76.58</v>
      </c>
      <c r="E143" s="91">
        <f>INDEX(Data[FY2026 Early Intervention],MATCH(A143,Data[Label],0))</f>
        <v>85.13</v>
      </c>
      <c r="F143" s="91">
        <f>INDEX(Data[FY2026 TLC],MATCH(A143,Data[Label],0))</f>
        <v>385.29</v>
      </c>
      <c r="G143" s="182">
        <f t="shared" si="165"/>
        <v>719607</v>
      </c>
      <c r="H143" s="182">
        <f t="shared" si="166"/>
        <v>43329</v>
      </c>
      <c r="I143" s="182">
        <f t="shared" si="167"/>
        <v>48167</v>
      </c>
      <c r="J143" s="182">
        <f t="shared" si="168"/>
        <v>217997</v>
      </c>
      <c r="K143" s="182">
        <f>INDEX(Data[FY2026 TSS Budget Guarantee],MATCH(A143,Data[Label],0))+INDEX(Data[FY2026 PD Budget Guarantee],MATCH(A143,Data[Label],0))+INDEX(Data[FY2026 Early Intervention Budget Guarantee],MATCH(A143,Data[Label],0))+INDEX(Data[FY2026 TLC Budget Gurantee],MATCH(A143,Data[Label],0))</f>
        <v>10232</v>
      </c>
      <c r="L143" s="182">
        <f t="shared" si="169"/>
        <v>1039332</v>
      </c>
      <c r="M143" s="181">
        <f>INDEX(Data[FY2027 Budget Enrollment],MATCH(A143,Data[Label],0))+INDEX(Data[FY2027 ESAs],MATCH(A143,Data[Label],0))</f>
        <v>585.70000000000005</v>
      </c>
      <c r="N143" s="91">
        <f t="shared" si="170"/>
        <v>1285.53</v>
      </c>
      <c r="O143" s="91">
        <f t="shared" si="171"/>
        <v>78.13</v>
      </c>
      <c r="P143" s="91">
        <f t="shared" si="172"/>
        <v>86.82</v>
      </c>
      <c r="Q143" s="91">
        <f t="shared" si="173"/>
        <v>393</v>
      </c>
      <c r="R143" s="182">
        <f t="shared" si="181"/>
        <v>752935</v>
      </c>
      <c r="S143" s="182">
        <f t="shared" si="182"/>
        <v>45761</v>
      </c>
      <c r="T143" s="182">
        <f t="shared" si="183"/>
        <v>50850</v>
      </c>
      <c r="U143" s="182">
        <f t="shared" ref="U143" si="187">ROUND($M143*Q143,)</f>
        <v>230180</v>
      </c>
      <c r="V143" s="182">
        <f t="shared" si="175"/>
        <v>0</v>
      </c>
      <c r="W143" s="182">
        <f t="shared" si="176"/>
        <v>1079726</v>
      </c>
      <c r="X143" s="182">
        <f t="shared" si="177"/>
        <v>40394</v>
      </c>
      <c r="Y143" s="183">
        <f t="shared" si="178"/>
        <v>3.8865348127451092E-2</v>
      </c>
      <c r="Z143" s="184">
        <f t="shared" si="179"/>
        <v>19.900000000000091</v>
      </c>
      <c r="AA143" s="185">
        <f t="shared" si="180"/>
        <v>3.5171438670908613E-2</v>
      </c>
    </row>
    <row r="144" spans="1:27" x14ac:dyDescent="0.55000000000000004">
      <c r="A144" s="230" t="s">
        <v>137</v>
      </c>
      <c r="B144" s="176">
        <f>INDEX(Data[FY2026 Budget Enrollment],MATCH(A144,Data[Label],0))+INDEX(Data[FY2026 ESA],MATCH(A144,Data[Label],0))</f>
        <v>586.29999999999995</v>
      </c>
      <c r="C144" s="218">
        <f>INDEX(Data[FY2026 TSS],MATCH(A144,Data[Label],0))</f>
        <v>968.64</v>
      </c>
      <c r="D144" s="218">
        <f>INDEX(Data[FY2026 PD],MATCH(A144,Data[Label],0))</f>
        <v>79.569999999999993</v>
      </c>
      <c r="E144" s="218">
        <f>INDEX(Data[FY2026 Early Intervention],MATCH(A144,Data[Label],0))</f>
        <v>85.82</v>
      </c>
      <c r="F144" s="218">
        <f>INDEX(Data[FY2026 TLC],MATCH(A144,Data[Label],0))</f>
        <v>385.29</v>
      </c>
      <c r="G144" s="177">
        <f t="shared" si="165"/>
        <v>567914</v>
      </c>
      <c r="H144" s="177">
        <f t="shared" si="166"/>
        <v>46652</v>
      </c>
      <c r="I144" s="177">
        <f t="shared" si="167"/>
        <v>50316</v>
      </c>
      <c r="J144" s="177">
        <f t="shared" si="168"/>
        <v>225896</v>
      </c>
      <c r="K144" s="177">
        <f>INDEX(Data[FY2026 TSS Budget Guarantee],MATCH(A144,Data[Label],0))+INDEX(Data[FY2026 PD Budget Guarantee],MATCH(A144,Data[Label],0))+INDEX(Data[FY2026 Early Intervention Budget Guarantee],MATCH(A144,Data[Label],0))+INDEX(Data[FY2026 TLC Budget Gurantee],MATCH(A144,Data[Label],0))</f>
        <v>0</v>
      </c>
      <c r="L144" s="177">
        <f t="shared" si="169"/>
        <v>890778</v>
      </c>
      <c r="M144" s="176">
        <f>INDEX(Data[FY2027 Budget Enrollment],MATCH(A144,Data[Label],0))+INDEX(Data[FY2027 ESAs],MATCH(A144,Data[Label],0))</f>
        <v>577.70000000000005</v>
      </c>
      <c r="N144" s="218">
        <f t="shared" si="170"/>
        <v>982.33</v>
      </c>
      <c r="O144" s="218">
        <f t="shared" si="171"/>
        <v>81.11999999999999</v>
      </c>
      <c r="P144" s="218">
        <f t="shared" si="172"/>
        <v>87.509999999999991</v>
      </c>
      <c r="Q144" s="218">
        <f t="shared" si="173"/>
        <v>393</v>
      </c>
      <c r="R144" s="177">
        <f t="shared" si="181"/>
        <v>567492</v>
      </c>
      <c r="S144" s="177">
        <f t="shared" si="182"/>
        <v>46863</v>
      </c>
      <c r="T144" s="177">
        <f t="shared" si="183"/>
        <v>50555</v>
      </c>
      <c r="U144" s="177">
        <f t="shared" ref="U144" si="188">ROUND($M144*Q144,0)</f>
        <v>227036</v>
      </c>
      <c r="V144" s="177">
        <f t="shared" si="175"/>
        <v>422</v>
      </c>
      <c r="W144" s="177">
        <f t="shared" si="176"/>
        <v>892368</v>
      </c>
      <c r="X144" s="177">
        <f t="shared" si="177"/>
        <v>1590</v>
      </c>
      <c r="Y144" s="178">
        <f t="shared" si="178"/>
        <v>1.7849565211534187E-3</v>
      </c>
      <c r="Z144" s="179">
        <f t="shared" si="179"/>
        <v>-8.5999999999999091</v>
      </c>
      <c r="AA144" s="180">
        <f t="shared" si="180"/>
        <v>-1.4668258570697441E-2</v>
      </c>
    </row>
    <row r="145" spans="1:27" x14ac:dyDescent="0.55000000000000004">
      <c r="A145" s="229" t="s">
        <v>138</v>
      </c>
      <c r="B145" s="181">
        <f>INDEX(Data[FY2026 Budget Enrollment],MATCH(A145,Data[Label],0))+INDEX(Data[FY2026 ESA],MATCH(A145,Data[Label],0))</f>
        <v>1241</v>
      </c>
      <c r="C145" s="91">
        <f>INDEX(Data[FY2026 TSS],MATCH(A145,Data[Label],0))</f>
        <v>918.83</v>
      </c>
      <c r="D145" s="91">
        <f>INDEX(Data[FY2026 PD],MATCH(A145,Data[Label],0))</f>
        <v>76.66</v>
      </c>
      <c r="E145" s="91">
        <f>INDEX(Data[FY2026 Early Intervention],MATCH(A145,Data[Label],0))</f>
        <v>76.599999999999994</v>
      </c>
      <c r="F145" s="91">
        <f>INDEX(Data[FY2026 TLC],MATCH(A145,Data[Label],0))</f>
        <v>385.29</v>
      </c>
      <c r="G145" s="182">
        <f t="shared" si="165"/>
        <v>1140268</v>
      </c>
      <c r="H145" s="182">
        <f t="shared" si="166"/>
        <v>95135</v>
      </c>
      <c r="I145" s="182">
        <f t="shared" si="167"/>
        <v>95061</v>
      </c>
      <c r="J145" s="182">
        <f t="shared" si="168"/>
        <v>478145</v>
      </c>
      <c r="K145" s="182">
        <f>INDEX(Data[FY2026 TSS Budget Guarantee],MATCH(A145,Data[Label],0))+INDEX(Data[FY2026 PD Budget Guarantee],MATCH(A145,Data[Label],0))+INDEX(Data[FY2026 Early Intervention Budget Guarantee],MATCH(A145,Data[Label],0))+INDEX(Data[FY2026 TLC Budget Gurantee],MATCH(A145,Data[Label],0))</f>
        <v>0</v>
      </c>
      <c r="L145" s="182">
        <f t="shared" si="169"/>
        <v>1808609</v>
      </c>
      <c r="M145" s="181">
        <f>INDEX(Data[FY2027 Budget Enrollment],MATCH(A145,Data[Label],0))+INDEX(Data[FY2027 ESAs],MATCH(A145,Data[Label],0))</f>
        <v>1265.3</v>
      </c>
      <c r="N145" s="91">
        <f t="shared" si="170"/>
        <v>932.5200000000001</v>
      </c>
      <c r="O145" s="91">
        <f t="shared" si="171"/>
        <v>78.209999999999994</v>
      </c>
      <c r="P145" s="91">
        <f t="shared" si="172"/>
        <v>78.289999999999992</v>
      </c>
      <c r="Q145" s="91">
        <f t="shared" si="173"/>
        <v>393</v>
      </c>
      <c r="R145" s="182">
        <f t="shared" si="181"/>
        <v>1179918</v>
      </c>
      <c r="S145" s="182">
        <f t="shared" si="182"/>
        <v>98959</v>
      </c>
      <c r="T145" s="182">
        <f t="shared" si="183"/>
        <v>99060</v>
      </c>
      <c r="U145" s="182">
        <f t="shared" ref="U145" si="189">ROUND($M145*Q145,)</f>
        <v>497263</v>
      </c>
      <c r="V145" s="182">
        <f t="shared" si="175"/>
        <v>0</v>
      </c>
      <c r="W145" s="182">
        <f t="shared" si="176"/>
        <v>1875200</v>
      </c>
      <c r="X145" s="182">
        <f t="shared" si="177"/>
        <v>66591</v>
      </c>
      <c r="Y145" s="183">
        <f t="shared" si="178"/>
        <v>3.6818903367173333E-2</v>
      </c>
      <c r="Z145" s="184">
        <f t="shared" si="179"/>
        <v>24.299999999999955</v>
      </c>
      <c r="AA145" s="185">
        <f t="shared" si="180"/>
        <v>1.9580983078162736E-2</v>
      </c>
    </row>
    <row r="146" spans="1:27" x14ac:dyDescent="0.55000000000000004">
      <c r="A146" s="230" t="s">
        <v>139</v>
      </c>
      <c r="B146" s="176">
        <f>INDEX(Data[FY2026 Budget Enrollment],MATCH(A146,Data[Label],0))+INDEX(Data[FY2026 ESA],MATCH(A146,Data[Label],0))</f>
        <v>408.3</v>
      </c>
      <c r="C146" s="218">
        <f>INDEX(Data[FY2026 TSS],MATCH(A146,Data[Label],0))</f>
        <v>1143.1400000000001</v>
      </c>
      <c r="D146" s="218">
        <f>INDEX(Data[FY2026 PD],MATCH(A146,Data[Label],0))</f>
        <v>61</v>
      </c>
      <c r="E146" s="218">
        <f>INDEX(Data[FY2026 Early Intervention],MATCH(A146,Data[Label],0))</f>
        <v>69.959999999999994</v>
      </c>
      <c r="F146" s="218">
        <f>INDEX(Data[FY2026 TLC],MATCH(A146,Data[Label],0))</f>
        <v>385.29</v>
      </c>
      <c r="G146" s="177">
        <f t="shared" si="165"/>
        <v>466744</v>
      </c>
      <c r="H146" s="177">
        <f t="shared" si="166"/>
        <v>24906</v>
      </c>
      <c r="I146" s="177">
        <f t="shared" si="167"/>
        <v>28565</v>
      </c>
      <c r="J146" s="177">
        <f t="shared" si="168"/>
        <v>157314</v>
      </c>
      <c r="K146" s="177">
        <f>INDEX(Data[FY2026 TSS Budget Guarantee],MATCH(A146,Data[Label],0))+INDEX(Data[FY2026 PD Budget Guarantee],MATCH(A146,Data[Label],0))+INDEX(Data[FY2026 Early Intervention Budget Guarantee],MATCH(A146,Data[Label],0))+INDEX(Data[FY2026 TLC Budget Gurantee],MATCH(A146,Data[Label],0))</f>
        <v>0</v>
      </c>
      <c r="L146" s="177">
        <f t="shared" si="169"/>
        <v>677529</v>
      </c>
      <c r="M146" s="176">
        <f>INDEX(Data[FY2027 Budget Enrollment],MATCH(A146,Data[Label],0))+INDEX(Data[FY2027 ESAs],MATCH(A146,Data[Label],0))</f>
        <v>388.4</v>
      </c>
      <c r="N146" s="218">
        <f t="shared" si="170"/>
        <v>1156.8300000000002</v>
      </c>
      <c r="O146" s="218">
        <f t="shared" si="171"/>
        <v>62.55</v>
      </c>
      <c r="P146" s="218">
        <f t="shared" si="172"/>
        <v>71.649999999999991</v>
      </c>
      <c r="Q146" s="218">
        <f t="shared" si="173"/>
        <v>393</v>
      </c>
      <c r="R146" s="177">
        <f t="shared" si="181"/>
        <v>449313</v>
      </c>
      <c r="S146" s="177">
        <f t="shared" si="182"/>
        <v>24294</v>
      </c>
      <c r="T146" s="177">
        <f t="shared" si="183"/>
        <v>27829</v>
      </c>
      <c r="U146" s="177">
        <f t="shared" ref="U146" si="190">ROUND($M146*Q146,0)</f>
        <v>152641</v>
      </c>
      <c r="V146" s="177">
        <f t="shared" si="175"/>
        <v>23452</v>
      </c>
      <c r="W146" s="177">
        <f t="shared" si="176"/>
        <v>677529</v>
      </c>
      <c r="X146" s="177">
        <f t="shared" si="177"/>
        <v>0</v>
      </c>
      <c r="Y146" s="178">
        <f t="shared" si="178"/>
        <v>0</v>
      </c>
      <c r="Z146" s="179">
        <f t="shared" si="179"/>
        <v>-19.900000000000034</v>
      </c>
      <c r="AA146" s="180">
        <f t="shared" si="180"/>
        <v>-4.873867254469761E-2</v>
      </c>
    </row>
    <row r="147" spans="1:27" x14ac:dyDescent="0.55000000000000004">
      <c r="A147" s="229" t="s">
        <v>140</v>
      </c>
      <c r="B147" s="181">
        <f>INDEX(Data[FY2026 Budget Enrollment],MATCH(A147,Data[Label],0))+INDEX(Data[FY2026 ESA],MATCH(A147,Data[Label],0))</f>
        <v>785.5</v>
      </c>
      <c r="C147" s="91">
        <f>INDEX(Data[FY2026 TSS],MATCH(A147,Data[Label],0))</f>
        <v>950.45</v>
      </c>
      <c r="D147" s="91">
        <f>INDEX(Data[FY2026 PD],MATCH(A147,Data[Label],0))</f>
        <v>82.77</v>
      </c>
      <c r="E147" s="91">
        <f>INDEX(Data[FY2026 Early Intervention],MATCH(A147,Data[Label],0))</f>
        <v>68.13</v>
      </c>
      <c r="F147" s="91">
        <f>INDEX(Data[FY2026 TLC],MATCH(A147,Data[Label],0))</f>
        <v>385.29</v>
      </c>
      <c r="G147" s="182">
        <f t="shared" si="165"/>
        <v>746578</v>
      </c>
      <c r="H147" s="182">
        <f t="shared" si="166"/>
        <v>65016</v>
      </c>
      <c r="I147" s="182">
        <f t="shared" si="167"/>
        <v>53516</v>
      </c>
      <c r="J147" s="182">
        <f t="shared" si="168"/>
        <v>302645</v>
      </c>
      <c r="K147" s="182">
        <f>INDEX(Data[FY2026 TSS Budget Guarantee],MATCH(A147,Data[Label],0))+INDEX(Data[FY2026 PD Budget Guarantee],MATCH(A147,Data[Label],0))+INDEX(Data[FY2026 Early Intervention Budget Guarantee],MATCH(A147,Data[Label],0))+INDEX(Data[FY2026 TLC Budget Gurantee],MATCH(A147,Data[Label],0))</f>
        <v>0</v>
      </c>
      <c r="L147" s="182">
        <f t="shared" si="169"/>
        <v>1167755</v>
      </c>
      <c r="M147" s="181">
        <f>INDEX(Data[FY2027 Budget Enrollment],MATCH(A147,Data[Label],0))+INDEX(Data[FY2027 ESAs],MATCH(A147,Data[Label],0))</f>
        <v>788.9</v>
      </c>
      <c r="N147" s="91">
        <f t="shared" si="170"/>
        <v>964.1400000000001</v>
      </c>
      <c r="O147" s="91">
        <f t="shared" si="171"/>
        <v>84.32</v>
      </c>
      <c r="P147" s="91">
        <f t="shared" si="172"/>
        <v>69.819999999999993</v>
      </c>
      <c r="Q147" s="91">
        <f t="shared" si="173"/>
        <v>393</v>
      </c>
      <c r="R147" s="182">
        <f t="shared" si="181"/>
        <v>760610</v>
      </c>
      <c r="S147" s="182">
        <f t="shared" si="182"/>
        <v>66520</v>
      </c>
      <c r="T147" s="182">
        <f t="shared" si="183"/>
        <v>55081</v>
      </c>
      <c r="U147" s="182">
        <f t="shared" ref="U147" si="191">ROUND($M147*Q147,)</f>
        <v>310038</v>
      </c>
      <c r="V147" s="182">
        <f t="shared" si="175"/>
        <v>0</v>
      </c>
      <c r="W147" s="182">
        <f t="shared" si="176"/>
        <v>1192249</v>
      </c>
      <c r="X147" s="182">
        <f t="shared" si="177"/>
        <v>24494</v>
      </c>
      <c r="Y147" s="183">
        <f t="shared" si="178"/>
        <v>2.0975290193576565E-2</v>
      </c>
      <c r="Z147" s="184">
        <f t="shared" si="179"/>
        <v>3.3999999999999773</v>
      </c>
      <c r="AA147" s="185">
        <f t="shared" si="180"/>
        <v>4.3284532145130197E-3</v>
      </c>
    </row>
    <row r="148" spans="1:27" x14ac:dyDescent="0.55000000000000004">
      <c r="A148" s="230" t="s">
        <v>141</v>
      </c>
      <c r="B148" s="176">
        <f>INDEX(Data[FY2026 Budget Enrollment],MATCH(A148,Data[Label],0))+INDEX(Data[FY2026 ESA],MATCH(A148,Data[Label],0))</f>
        <v>1299.2</v>
      </c>
      <c r="C148" s="218">
        <f>INDEX(Data[FY2026 TSS],MATCH(A148,Data[Label],0))</f>
        <v>1001.76</v>
      </c>
      <c r="D148" s="218">
        <f>INDEX(Data[FY2026 PD],MATCH(A148,Data[Label],0))</f>
        <v>76.97</v>
      </c>
      <c r="E148" s="218">
        <f>INDEX(Data[FY2026 Early Intervention],MATCH(A148,Data[Label],0))</f>
        <v>85.23</v>
      </c>
      <c r="F148" s="218">
        <f>INDEX(Data[FY2026 TLC],MATCH(A148,Data[Label],0))</f>
        <v>385.29</v>
      </c>
      <c r="G148" s="177">
        <f t="shared" si="165"/>
        <v>1301487</v>
      </c>
      <c r="H148" s="177">
        <f t="shared" si="166"/>
        <v>99999</v>
      </c>
      <c r="I148" s="177">
        <f t="shared" si="167"/>
        <v>110731</v>
      </c>
      <c r="J148" s="177">
        <f t="shared" si="168"/>
        <v>500569</v>
      </c>
      <c r="K148" s="177">
        <f>INDEX(Data[FY2026 TSS Budget Guarantee],MATCH(A148,Data[Label],0))+INDEX(Data[FY2026 PD Budget Guarantee],MATCH(A148,Data[Label],0))+INDEX(Data[FY2026 Early Intervention Budget Guarantee],MATCH(A148,Data[Label],0))+INDEX(Data[FY2026 TLC Budget Gurantee],MATCH(A148,Data[Label],0))</f>
        <v>0</v>
      </c>
      <c r="L148" s="177">
        <f t="shared" si="169"/>
        <v>2012786</v>
      </c>
      <c r="M148" s="176">
        <f>INDEX(Data[FY2027 Budget Enrollment],MATCH(A148,Data[Label],0))+INDEX(Data[FY2027 ESAs],MATCH(A148,Data[Label],0))</f>
        <v>1302</v>
      </c>
      <c r="N148" s="218">
        <f t="shared" si="170"/>
        <v>1015.45</v>
      </c>
      <c r="O148" s="218">
        <f t="shared" si="171"/>
        <v>78.52</v>
      </c>
      <c r="P148" s="218">
        <f t="shared" si="172"/>
        <v>86.92</v>
      </c>
      <c r="Q148" s="218">
        <f t="shared" si="173"/>
        <v>393</v>
      </c>
      <c r="R148" s="177">
        <f t="shared" si="181"/>
        <v>1322116</v>
      </c>
      <c r="S148" s="177">
        <f t="shared" si="182"/>
        <v>102233</v>
      </c>
      <c r="T148" s="177">
        <f t="shared" si="183"/>
        <v>113170</v>
      </c>
      <c r="U148" s="177">
        <f t="shared" ref="U148" si="192">ROUND($M148*Q148,0)</f>
        <v>511686</v>
      </c>
      <c r="V148" s="177">
        <f t="shared" si="175"/>
        <v>0</v>
      </c>
      <c r="W148" s="177">
        <f t="shared" si="176"/>
        <v>2049205</v>
      </c>
      <c r="X148" s="177">
        <f t="shared" si="177"/>
        <v>36419</v>
      </c>
      <c r="Y148" s="178">
        <f t="shared" si="178"/>
        <v>1.8093826169299668E-2</v>
      </c>
      <c r="Z148" s="179">
        <f t="shared" si="179"/>
        <v>2.7999999999999545</v>
      </c>
      <c r="AA148" s="180">
        <f t="shared" si="180"/>
        <v>2.1551724137930683E-3</v>
      </c>
    </row>
    <row r="149" spans="1:27" x14ac:dyDescent="0.55000000000000004">
      <c r="A149" s="229" t="s">
        <v>142</v>
      </c>
      <c r="B149" s="181">
        <f>INDEX(Data[FY2026 Budget Enrollment],MATCH(A149,Data[Label],0))+INDEX(Data[FY2026 ESA],MATCH(A149,Data[Label],0))</f>
        <v>692.7</v>
      </c>
      <c r="C149" s="91">
        <f>INDEX(Data[FY2026 TSS],MATCH(A149,Data[Label],0))</f>
        <v>985.09</v>
      </c>
      <c r="D149" s="91">
        <f>INDEX(Data[FY2026 PD],MATCH(A149,Data[Label],0))</f>
        <v>84.14</v>
      </c>
      <c r="E149" s="91">
        <f>INDEX(Data[FY2026 Early Intervention],MATCH(A149,Data[Label],0))</f>
        <v>78.03</v>
      </c>
      <c r="F149" s="91">
        <f>INDEX(Data[FY2026 TLC],MATCH(A149,Data[Label],0))</f>
        <v>385.29</v>
      </c>
      <c r="G149" s="182">
        <f t="shared" si="165"/>
        <v>682372</v>
      </c>
      <c r="H149" s="182">
        <f t="shared" si="166"/>
        <v>58284</v>
      </c>
      <c r="I149" s="182">
        <f t="shared" si="167"/>
        <v>54051</v>
      </c>
      <c r="J149" s="182">
        <f t="shared" si="168"/>
        <v>266890</v>
      </c>
      <c r="K149" s="182">
        <f>INDEX(Data[FY2026 TSS Budget Guarantee],MATCH(A149,Data[Label],0))+INDEX(Data[FY2026 PD Budget Guarantee],MATCH(A149,Data[Label],0))+INDEX(Data[FY2026 Early Intervention Budget Guarantee],MATCH(A149,Data[Label],0))+INDEX(Data[FY2026 TLC Budget Gurantee],MATCH(A149,Data[Label],0))</f>
        <v>0</v>
      </c>
      <c r="L149" s="182">
        <f t="shared" si="169"/>
        <v>1061597</v>
      </c>
      <c r="M149" s="181">
        <f>INDEX(Data[FY2027 Budget Enrollment],MATCH(A149,Data[Label],0))+INDEX(Data[FY2027 ESAs],MATCH(A149,Data[Label],0))</f>
        <v>741.5</v>
      </c>
      <c r="N149" s="91">
        <f t="shared" si="170"/>
        <v>998.78000000000009</v>
      </c>
      <c r="O149" s="91">
        <f t="shared" si="171"/>
        <v>85.69</v>
      </c>
      <c r="P149" s="91">
        <f t="shared" si="172"/>
        <v>79.72</v>
      </c>
      <c r="Q149" s="91">
        <f t="shared" si="173"/>
        <v>393</v>
      </c>
      <c r="R149" s="182">
        <f t="shared" si="181"/>
        <v>740595</v>
      </c>
      <c r="S149" s="182">
        <f t="shared" si="182"/>
        <v>63539</v>
      </c>
      <c r="T149" s="182">
        <f t="shared" si="183"/>
        <v>59112</v>
      </c>
      <c r="U149" s="182">
        <f t="shared" ref="U149" si="193">ROUND($M149*Q149,)</f>
        <v>291410</v>
      </c>
      <c r="V149" s="182">
        <f t="shared" si="175"/>
        <v>0</v>
      </c>
      <c r="W149" s="182">
        <f t="shared" si="176"/>
        <v>1154656</v>
      </c>
      <c r="X149" s="182">
        <f t="shared" si="177"/>
        <v>93059</v>
      </c>
      <c r="Y149" s="183">
        <f t="shared" si="178"/>
        <v>8.7659441388775586E-2</v>
      </c>
      <c r="Z149" s="184">
        <f t="shared" si="179"/>
        <v>48.799999999999955</v>
      </c>
      <c r="AA149" s="185">
        <f t="shared" si="180"/>
        <v>7.0448967807131446E-2</v>
      </c>
    </row>
    <row r="150" spans="1:27" x14ac:dyDescent="0.55000000000000004">
      <c r="A150" s="230" t="s">
        <v>143</v>
      </c>
      <c r="B150" s="176">
        <f>INDEX(Data[FY2026 Budget Enrollment],MATCH(A150,Data[Label],0))+INDEX(Data[FY2026 ESA],MATCH(A150,Data[Label],0))</f>
        <v>1467.8</v>
      </c>
      <c r="C150" s="218">
        <f>INDEX(Data[FY2026 TSS],MATCH(A150,Data[Label],0))</f>
        <v>863.69</v>
      </c>
      <c r="D150" s="218">
        <f>INDEX(Data[FY2026 PD],MATCH(A150,Data[Label],0))</f>
        <v>83.25</v>
      </c>
      <c r="E150" s="218">
        <f>INDEX(Data[FY2026 Early Intervention],MATCH(A150,Data[Label],0))</f>
        <v>80.47</v>
      </c>
      <c r="F150" s="218">
        <f>INDEX(Data[FY2026 TLC],MATCH(A150,Data[Label],0))</f>
        <v>385.29</v>
      </c>
      <c r="G150" s="177">
        <f t="shared" si="165"/>
        <v>1267724</v>
      </c>
      <c r="H150" s="177">
        <f t="shared" si="166"/>
        <v>122194</v>
      </c>
      <c r="I150" s="177">
        <f t="shared" si="167"/>
        <v>118114</v>
      </c>
      <c r="J150" s="177">
        <f t="shared" si="168"/>
        <v>565529</v>
      </c>
      <c r="K150" s="177">
        <f>INDEX(Data[FY2026 TSS Budget Guarantee],MATCH(A150,Data[Label],0))+INDEX(Data[FY2026 PD Budget Guarantee],MATCH(A150,Data[Label],0))+INDEX(Data[FY2026 Early Intervention Budget Guarantee],MATCH(A150,Data[Label],0))+INDEX(Data[FY2026 TLC Budget Gurantee],MATCH(A150,Data[Label],0))</f>
        <v>0</v>
      </c>
      <c r="L150" s="177">
        <f t="shared" si="169"/>
        <v>2073561</v>
      </c>
      <c r="M150" s="176">
        <f>INDEX(Data[FY2027 Budget Enrollment],MATCH(A150,Data[Label],0))+INDEX(Data[FY2027 ESAs],MATCH(A150,Data[Label],0))</f>
        <v>1468.3</v>
      </c>
      <c r="N150" s="218">
        <f t="shared" si="170"/>
        <v>877.38000000000011</v>
      </c>
      <c r="O150" s="218">
        <f t="shared" si="171"/>
        <v>84.8</v>
      </c>
      <c r="P150" s="218">
        <f t="shared" si="172"/>
        <v>82.16</v>
      </c>
      <c r="Q150" s="218">
        <f t="shared" si="173"/>
        <v>393</v>
      </c>
      <c r="R150" s="177">
        <f t="shared" si="181"/>
        <v>1288257</v>
      </c>
      <c r="S150" s="177">
        <f t="shared" si="182"/>
        <v>124512</v>
      </c>
      <c r="T150" s="177">
        <f t="shared" si="183"/>
        <v>120636</v>
      </c>
      <c r="U150" s="177">
        <f t="shared" ref="U150" si="194">ROUND($M150*Q150,0)</f>
        <v>577042</v>
      </c>
      <c r="V150" s="177">
        <f t="shared" si="175"/>
        <v>0</v>
      </c>
      <c r="W150" s="177">
        <f t="shared" si="176"/>
        <v>2110447</v>
      </c>
      <c r="X150" s="177">
        <f t="shared" si="177"/>
        <v>36886</v>
      </c>
      <c r="Y150" s="178">
        <f t="shared" si="178"/>
        <v>1.7788721913654819E-2</v>
      </c>
      <c r="Z150" s="179">
        <f t="shared" si="179"/>
        <v>0.5</v>
      </c>
      <c r="AA150" s="180">
        <f t="shared" si="180"/>
        <v>3.4064586455920427E-4</v>
      </c>
    </row>
    <row r="151" spans="1:27" x14ac:dyDescent="0.55000000000000004">
      <c r="A151" s="229" t="s">
        <v>144</v>
      </c>
      <c r="B151" s="181">
        <f>INDEX(Data[FY2026 Budget Enrollment],MATCH(A151,Data[Label],0))+INDEX(Data[FY2026 ESA],MATCH(A151,Data[Label],0))</f>
        <v>3569.2</v>
      </c>
      <c r="C151" s="91">
        <f>INDEX(Data[FY2026 TSS],MATCH(A151,Data[Label],0))</f>
        <v>747.63</v>
      </c>
      <c r="D151" s="91">
        <f>INDEX(Data[FY2026 PD],MATCH(A151,Data[Label],0))</f>
        <v>75.64</v>
      </c>
      <c r="E151" s="91">
        <f>INDEX(Data[FY2026 Early Intervention],MATCH(A151,Data[Label],0))</f>
        <v>74.03</v>
      </c>
      <c r="F151" s="91">
        <f>INDEX(Data[FY2026 TLC],MATCH(A151,Data[Label],0))</f>
        <v>385.29</v>
      </c>
      <c r="G151" s="182">
        <f t="shared" si="165"/>
        <v>2668441</v>
      </c>
      <c r="H151" s="182">
        <f t="shared" si="166"/>
        <v>269974</v>
      </c>
      <c r="I151" s="182">
        <f t="shared" si="167"/>
        <v>264228</v>
      </c>
      <c r="J151" s="182">
        <f t="shared" si="168"/>
        <v>1375177</v>
      </c>
      <c r="K151" s="182">
        <f>INDEX(Data[FY2026 TSS Budget Guarantee],MATCH(A151,Data[Label],0))+INDEX(Data[FY2026 PD Budget Guarantee],MATCH(A151,Data[Label],0))+INDEX(Data[FY2026 Early Intervention Budget Guarantee],MATCH(A151,Data[Label],0))+INDEX(Data[FY2026 TLC Budget Gurantee],MATCH(A151,Data[Label],0))</f>
        <v>0</v>
      </c>
      <c r="L151" s="182">
        <f t="shared" si="169"/>
        <v>4577820</v>
      </c>
      <c r="M151" s="181">
        <f>INDEX(Data[FY2027 Budget Enrollment],MATCH(A151,Data[Label],0))+INDEX(Data[FY2027 ESAs],MATCH(A151,Data[Label],0))</f>
        <v>3498.8</v>
      </c>
      <c r="N151" s="91">
        <f t="shared" si="170"/>
        <v>761.32</v>
      </c>
      <c r="O151" s="91">
        <f t="shared" si="171"/>
        <v>77.19</v>
      </c>
      <c r="P151" s="91">
        <f t="shared" si="172"/>
        <v>75.72</v>
      </c>
      <c r="Q151" s="91">
        <f t="shared" si="173"/>
        <v>393</v>
      </c>
      <c r="R151" s="182">
        <f t="shared" si="181"/>
        <v>2663706</v>
      </c>
      <c r="S151" s="182">
        <f t="shared" si="182"/>
        <v>270072</v>
      </c>
      <c r="T151" s="182">
        <f t="shared" si="183"/>
        <v>264929</v>
      </c>
      <c r="U151" s="182">
        <f t="shared" ref="U151" si="195">ROUND($M151*Q151,)</f>
        <v>1375028</v>
      </c>
      <c r="V151" s="182">
        <f t="shared" si="175"/>
        <v>4884</v>
      </c>
      <c r="W151" s="182">
        <f t="shared" si="176"/>
        <v>4578619</v>
      </c>
      <c r="X151" s="182">
        <f t="shared" si="177"/>
        <v>799</v>
      </c>
      <c r="Y151" s="183">
        <f t="shared" si="178"/>
        <v>1.7453722514209821E-4</v>
      </c>
      <c r="Z151" s="184">
        <f t="shared" si="179"/>
        <v>-70.399999999999636</v>
      </c>
      <c r="AA151" s="185">
        <f t="shared" si="180"/>
        <v>-1.9724307968172039E-2</v>
      </c>
    </row>
    <row r="152" spans="1:27" x14ac:dyDescent="0.55000000000000004">
      <c r="A152" s="230" t="s">
        <v>145</v>
      </c>
      <c r="B152" s="176">
        <f>INDEX(Data[FY2026 Budget Enrollment],MATCH(A152,Data[Label],0))+INDEX(Data[FY2026 ESA],MATCH(A152,Data[Label],0))</f>
        <v>831.3</v>
      </c>
      <c r="C152" s="218">
        <f>INDEX(Data[FY2026 TSS],MATCH(A152,Data[Label],0))</f>
        <v>1156</v>
      </c>
      <c r="D152" s="218">
        <f>INDEX(Data[FY2026 PD],MATCH(A152,Data[Label],0))</f>
        <v>66.5</v>
      </c>
      <c r="E152" s="218">
        <f>INDEX(Data[FY2026 Early Intervention],MATCH(A152,Data[Label],0))</f>
        <v>75.27</v>
      </c>
      <c r="F152" s="218">
        <f>INDEX(Data[FY2026 TLC],MATCH(A152,Data[Label],0))</f>
        <v>385.29</v>
      </c>
      <c r="G152" s="177">
        <f t="shared" si="165"/>
        <v>960983</v>
      </c>
      <c r="H152" s="177">
        <f t="shared" si="166"/>
        <v>55281</v>
      </c>
      <c r="I152" s="177">
        <f t="shared" si="167"/>
        <v>62572</v>
      </c>
      <c r="J152" s="177">
        <f t="shared" si="168"/>
        <v>320292</v>
      </c>
      <c r="K152" s="177">
        <f>INDEX(Data[FY2026 TSS Budget Guarantee],MATCH(A152,Data[Label],0))+INDEX(Data[FY2026 PD Budget Guarantee],MATCH(A152,Data[Label],0))+INDEX(Data[FY2026 Early Intervention Budget Guarantee],MATCH(A152,Data[Label],0))+INDEX(Data[FY2026 TLC Budget Gurantee],MATCH(A152,Data[Label],0))</f>
        <v>0</v>
      </c>
      <c r="L152" s="177">
        <f t="shared" si="169"/>
        <v>1399128</v>
      </c>
      <c r="M152" s="176">
        <f>INDEX(Data[FY2027 Budget Enrollment],MATCH(A152,Data[Label],0))+INDEX(Data[FY2027 ESAs],MATCH(A152,Data[Label],0))</f>
        <v>824.9</v>
      </c>
      <c r="N152" s="218">
        <f t="shared" si="170"/>
        <v>1169.69</v>
      </c>
      <c r="O152" s="218">
        <f t="shared" si="171"/>
        <v>68.05</v>
      </c>
      <c r="P152" s="218">
        <f t="shared" si="172"/>
        <v>76.959999999999994</v>
      </c>
      <c r="Q152" s="218">
        <f t="shared" si="173"/>
        <v>393</v>
      </c>
      <c r="R152" s="177">
        <f t="shared" si="181"/>
        <v>964877</v>
      </c>
      <c r="S152" s="177">
        <f t="shared" si="182"/>
        <v>56134</v>
      </c>
      <c r="T152" s="177">
        <f t="shared" si="183"/>
        <v>63484</v>
      </c>
      <c r="U152" s="177">
        <f t="shared" ref="U152" si="196">ROUND($M152*Q152,0)</f>
        <v>324186</v>
      </c>
      <c r="V152" s="177">
        <f t="shared" si="175"/>
        <v>0</v>
      </c>
      <c r="W152" s="177">
        <f t="shared" si="176"/>
        <v>1408681</v>
      </c>
      <c r="X152" s="177">
        <f t="shared" si="177"/>
        <v>9553</v>
      </c>
      <c r="Y152" s="178">
        <f t="shared" si="178"/>
        <v>6.827824187636871E-3</v>
      </c>
      <c r="Z152" s="179">
        <f t="shared" si="179"/>
        <v>-6.3999999999999773</v>
      </c>
      <c r="AA152" s="180">
        <f t="shared" si="180"/>
        <v>-7.6987850354865604E-3</v>
      </c>
    </row>
    <row r="153" spans="1:27" x14ac:dyDescent="0.55000000000000004">
      <c r="A153" s="229" t="s">
        <v>146</v>
      </c>
      <c r="B153" s="181">
        <f>INDEX(Data[FY2026 Budget Enrollment],MATCH(A153,Data[Label],0))+INDEX(Data[FY2026 ESA],MATCH(A153,Data[Label],0))</f>
        <v>15323.6</v>
      </c>
      <c r="C153" s="91">
        <f>INDEX(Data[FY2026 TSS],MATCH(A153,Data[Label],0))</f>
        <v>729.25</v>
      </c>
      <c r="D153" s="91">
        <f>INDEX(Data[FY2026 PD],MATCH(A153,Data[Label],0))</f>
        <v>80.77</v>
      </c>
      <c r="E153" s="91">
        <f>INDEX(Data[FY2026 Early Intervention],MATCH(A153,Data[Label],0))</f>
        <v>83.58</v>
      </c>
      <c r="F153" s="91">
        <f>INDEX(Data[FY2026 TLC],MATCH(A153,Data[Label],0))</f>
        <v>385.29</v>
      </c>
      <c r="G153" s="182">
        <f t="shared" si="165"/>
        <v>11174735</v>
      </c>
      <c r="H153" s="182">
        <f t="shared" si="166"/>
        <v>1237687</v>
      </c>
      <c r="I153" s="182">
        <f t="shared" si="167"/>
        <v>1280746</v>
      </c>
      <c r="J153" s="182">
        <f t="shared" si="168"/>
        <v>5904030</v>
      </c>
      <c r="K153" s="182">
        <f>INDEX(Data[FY2026 TSS Budget Guarantee],MATCH(A153,Data[Label],0))+INDEX(Data[FY2026 PD Budget Guarantee],MATCH(A153,Data[Label],0))+INDEX(Data[FY2026 Early Intervention Budget Guarantee],MATCH(A153,Data[Label],0))+INDEX(Data[FY2026 TLC Budget Gurantee],MATCH(A153,Data[Label],0))</f>
        <v>0</v>
      </c>
      <c r="L153" s="182">
        <f t="shared" si="169"/>
        <v>19597198</v>
      </c>
      <c r="M153" s="181">
        <f>INDEX(Data[FY2027 Budget Enrollment],MATCH(A153,Data[Label],0))+INDEX(Data[FY2027 ESAs],MATCH(A153,Data[Label],0))</f>
        <v>15809.6</v>
      </c>
      <c r="N153" s="91">
        <f t="shared" si="170"/>
        <v>742.94</v>
      </c>
      <c r="O153" s="91">
        <f t="shared" si="171"/>
        <v>82.32</v>
      </c>
      <c r="P153" s="91">
        <f t="shared" si="172"/>
        <v>85.27</v>
      </c>
      <c r="Q153" s="91">
        <f t="shared" si="173"/>
        <v>393</v>
      </c>
      <c r="R153" s="182">
        <f t="shared" si="181"/>
        <v>11745584</v>
      </c>
      <c r="S153" s="182">
        <f t="shared" si="182"/>
        <v>1301446</v>
      </c>
      <c r="T153" s="182">
        <f t="shared" si="183"/>
        <v>1348085</v>
      </c>
      <c r="U153" s="182">
        <f t="shared" ref="U153" si="197">ROUND($M153*Q153,)</f>
        <v>6213173</v>
      </c>
      <c r="V153" s="182">
        <f t="shared" si="175"/>
        <v>0</v>
      </c>
      <c r="W153" s="182">
        <f t="shared" si="176"/>
        <v>20608288</v>
      </c>
      <c r="X153" s="182">
        <f t="shared" si="177"/>
        <v>1011090</v>
      </c>
      <c r="Y153" s="183">
        <f t="shared" si="178"/>
        <v>5.1593600268773118E-2</v>
      </c>
      <c r="Z153" s="184">
        <f t="shared" si="179"/>
        <v>486</v>
      </c>
      <c r="AA153" s="185">
        <f t="shared" si="180"/>
        <v>3.171578480252682E-2</v>
      </c>
    </row>
    <row r="154" spans="1:27" x14ac:dyDescent="0.55000000000000004">
      <c r="A154" s="230" t="s">
        <v>147</v>
      </c>
      <c r="B154" s="176">
        <f>INDEX(Data[FY2026 Budget Enrollment],MATCH(A154,Data[Label],0))+INDEX(Data[FY2026 ESA],MATCH(A154,Data[Label],0))</f>
        <v>966.8</v>
      </c>
      <c r="C154" s="218">
        <f>INDEX(Data[FY2026 TSS],MATCH(A154,Data[Label],0))</f>
        <v>1064.95</v>
      </c>
      <c r="D154" s="218">
        <f>INDEX(Data[FY2026 PD],MATCH(A154,Data[Label],0))</f>
        <v>80.400000000000006</v>
      </c>
      <c r="E154" s="218">
        <f>INDEX(Data[FY2026 Early Intervention],MATCH(A154,Data[Label],0))</f>
        <v>86.85</v>
      </c>
      <c r="F154" s="218">
        <f>INDEX(Data[FY2026 TLC],MATCH(A154,Data[Label],0))</f>
        <v>385.29</v>
      </c>
      <c r="G154" s="177">
        <f t="shared" si="165"/>
        <v>1029594</v>
      </c>
      <c r="H154" s="177">
        <f t="shared" si="166"/>
        <v>77731</v>
      </c>
      <c r="I154" s="177">
        <f t="shared" si="167"/>
        <v>83967</v>
      </c>
      <c r="J154" s="177">
        <f t="shared" si="168"/>
        <v>372498</v>
      </c>
      <c r="K154" s="177">
        <f>INDEX(Data[FY2026 TSS Budget Guarantee],MATCH(A154,Data[Label],0))+INDEX(Data[FY2026 PD Budget Guarantee],MATCH(A154,Data[Label],0))+INDEX(Data[FY2026 Early Intervention Budget Guarantee],MATCH(A154,Data[Label],0))+INDEX(Data[FY2026 TLC Budget Gurantee],MATCH(A154,Data[Label],0))</f>
        <v>10160</v>
      </c>
      <c r="L154" s="177">
        <f t="shared" si="169"/>
        <v>1573950</v>
      </c>
      <c r="M154" s="176">
        <f>INDEX(Data[FY2027 Budget Enrollment],MATCH(A154,Data[Label],0))+INDEX(Data[FY2027 ESAs],MATCH(A154,Data[Label],0))</f>
        <v>975.7</v>
      </c>
      <c r="N154" s="218">
        <f t="shared" si="170"/>
        <v>1078.6400000000001</v>
      </c>
      <c r="O154" s="218">
        <f t="shared" si="171"/>
        <v>81.95</v>
      </c>
      <c r="P154" s="218">
        <f t="shared" si="172"/>
        <v>88.539999999999992</v>
      </c>
      <c r="Q154" s="218">
        <f t="shared" si="173"/>
        <v>393</v>
      </c>
      <c r="R154" s="177">
        <f t="shared" si="181"/>
        <v>1052429</v>
      </c>
      <c r="S154" s="177">
        <f t="shared" si="182"/>
        <v>79959</v>
      </c>
      <c r="T154" s="177">
        <f t="shared" si="183"/>
        <v>86388</v>
      </c>
      <c r="U154" s="177">
        <f t="shared" ref="U154" si="198">ROUND($M154*Q154,0)</f>
        <v>383450</v>
      </c>
      <c r="V154" s="177">
        <f t="shared" si="175"/>
        <v>0</v>
      </c>
      <c r="W154" s="177">
        <f t="shared" si="176"/>
        <v>1602226</v>
      </c>
      <c r="X154" s="177">
        <f t="shared" si="177"/>
        <v>28276</v>
      </c>
      <c r="Y154" s="178">
        <f t="shared" si="178"/>
        <v>1.7964992534705678E-2</v>
      </c>
      <c r="Z154" s="179">
        <f t="shared" si="179"/>
        <v>8.9000000000000909</v>
      </c>
      <c r="AA154" s="180">
        <f t="shared" si="180"/>
        <v>9.2056268100952545E-3</v>
      </c>
    </row>
    <row r="155" spans="1:27" x14ac:dyDescent="0.55000000000000004">
      <c r="A155" s="229" t="s">
        <v>148</v>
      </c>
      <c r="B155" s="181">
        <f>INDEX(Data[FY2026 Budget Enrollment],MATCH(A155,Data[Label],0))+INDEX(Data[FY2026 ESA],MATCH(A155,Data[Label],0))</f>
        <v>486.8</v>
      </c>
      <c r="C155" s="91">
        <f>INDEX(Data[FY2026 TSS],MATCH(A155,Data[Label],0))</f>
        <v>1065.92</v>
      </c>
      <c r="D155" s="91">
        <f>INDEX(Data[FY2026 PD],MATCH(A155,Data[Label],0))</f>
        <v>76.290000000000006</v>
      </c>
      <c r="E155" s="91">
        <f>INDEX(Data[FY2026 Early Intervention],MATCH(A155,Data[Label],0))</f>
        <v>67.489999999999995</v>
      </c>
      <c r="F155" s="91">
        <f>INDEX(Data[FY2026 TLC],MATCH(A155,Data[Label],0))</f>
        <v>385.29</v>
      </c>
      <c r="G155" s="182">
        <f t="shared" si="165"/>
        <v>518890</v>
      </c>
      <c r="H155" s="182">
        <f t="shared" si="166"/>
        <v>37138</v>
      </c>
      <c r="I155" s="182">
        <f t="shared" si="167"/>
        <v>32854</v>
      </c>
      <c r="J155" s="182">
        <f t="shared" si="168"/>
        <v>187559</v>
      </c>
      <c r="K155" s="182">
        <f>INDEX(Data[FY2026 TSS Budget Guarantee],MATCH(A155,Data[Label],0))+INDEX(Data[FY2026 PD Budget Guarantee],MATCH(A155,Data[Label],0))+INDEX(Data[FY2026 Early Intervention Budget Guarantee],MATCH(A155,Data[Label],0))+INDEX(Data[FY2026 TLC Budget Gurantee],MATCH(A155,Data[Label],0))</f>
        <v>5611</v>
      </c>
      <c r="L155" s="182">
        <f t="shared" si="169"/>
        <v>782052</v>
      </c>
      <c r="M155" s="181">
        <f>INDEX(Data[FY2027 Budget Enrollment],MATCH(A155,Data[Label],0))+INDEX(Data[FY2027 ESAs],MATCH(A155,Data[Label],0))</f>
        <v>487.9</v>
      </c>
      <c r="N155" s="91">
        <f t="shared" si="170"/>
        <v>1079.6100000000001</v>
      </c>
      <c r="O155" s="91">
        <f t="shared" si="171"/>
        <v>77.84</v>
      </c>
      <c r="P155" s="91">
        <f t="shared" si="172"/>
        <v>69.179999999999993</v>
      </c>
      <c r="Q155" s="91">
        <f t="shared" si="173"/>
        <v>393</v>
      </c>
      <c r="R155" s="182">
        <f t="shared" si="181"/>
        <v>526742</v>
      </c>
      <c r="S155" s="182">
        <f t="shared" si="182"/>
        <v>37978</v>
      </c>
      <c r="T155" s="182">
        <f t="shared" si="183"/>
        <v>33753</v>
      </c>
      <c r="U155" s="182">
        <f t="shared" ref="U155" si="199">ROUND($M155*Q155,)</f>
        <v>191745</v>
      </c>
      <c r="V155" s="182">
        <f t="shared" si="175"/>
        <v>0</v>
      </c>
      <c r="W155" s="182">
        <f t="shared" si="176"/>
        <v>790218</v>
      </c>
      <c r="X155" s="182">
        <f t="shared" si="177"/>
        <v>8166</v>
      </c>
      <c r="Y155" s="183">
        <f t="shared" si="178"/>
        <v>1.0441760905924415E-2</v>
      </c>
      <c r="Z155" s="184">
        <f t="shared" si="179"/>
        <v>1.0999999999999659</v>
      </c>
      <c r="AA155" s="185">
        <f t="shared" si="180"/>
        <v>2.259654889071417E-3</v>
      </c>
    </row>
    <row r="156" spans="1:27" x14ac:dyDescent="0.55000000000000004">
      <c r="A156" s="230" t="s">
        <v>149</v>
      </c>
      <c r="B156" s="176">
        <f>INDEX(Data[FY2026 Budget Enrollment],MATCH(A156,Data[Label],0))+INDEX(Data[FY2026 ESA],MATCH(A156,Data[Label],0))</f>
        <v>459.1</v>
      </c>
      <c r="C156" s="218">
        <f>INDEX(Data[FY2026 TSS],MATCH(A156,Data[Label],0))</f>
        <v>1239.0899999999999</v>
      </c>
      <c r="D156" s="218">
        <f>INDEX(Data[FY2026 PD],MATCH(A156,Data[Label],0))</f>
        <v>66.48</v>
      </c>
      <c r="E156" s="218">
        <f>INDEX(Data[FY2026 Early Intervention],MATCH(A156,Data[Label],0))</f>
        <v>61.25</v>
      </c>
      <c r="F156" s="218">
        <f>INDEX(Data[FY2026 TLC],MATCH(A156,Data[Label],0))</f>
        <v>385.29</v>
      </c>
      <c r="G156" s="177">
        <f t="shared" si="165"/>
        <v>568866</v>
      </c>
      <c r="H156" s="177">
        <f t="shared" si="166"/>
        <v>30521</v>
      </c>
      <c r="I156" s="177">
        <f t="shared" si="167"/>
        <v>28120</v>
      </c>
      <c r="J156" s="177">
        <f t="shared" si="168"/>
        <v>176887</v>
      </c>
      <c r="K156" s="177">
        <f>INDEX(Data[FY2026 TSS Budget Guarantee],MATCH(A156,Data[Label],0))+INDEX(Data[FY2026 PD Budget Guarantee],MATCH(A156,Data[Label],0))+INDEX(Data[FY2026 Early Intervention Budget Guarantee],MATCH(A156,Data[Label],0))+INDEX(Data[FY2026 TLC Budget Gurantee],MATCH(A156,Data[Label],0))</f>
        <v>0</v>
      </c>
      <c r="L156" s="177">
        <f t="shared" si="169"/>
        <v>804394</v>
      </c>
      <c r="M156" s="176">
        <f>INDEX(Data[FY2027 Budget Enrollment],MATCH(A156,Data[Label],0))+INDEX(Data[FY2027 ESAs],MATCH(A156,Data[Label],0))</f>
        <v>447.2</v>
      </c>
      <c r="N156" s="218">
        <f t="shared" si="170"/>
        <v>1252.78</v>
      </c>
      <c r="O156" s="218">
        <f t="shared" si="171"/>
        <v>68.03</v>
      </c>
      <c r="P156" s="218">
        <f t="shared" si="172"/>
        <v>62.94</v>
      </c>
      <c r="Q156" s="218">
        <f t="shared" si="173"/>
        <v>393</v>
      </c>
      <c r="R156" s="177">
        <f t="shared" si="181"/>
        <v>560243</v>
      </c>
      <c r="S156" s="177">
        <f t="shared" si="182"/>
        <v>30423</v>
      </c>
      <c r="T156" s="177">
        <f t="shared" si="183"/>
        <v>28147</v>
      </c>
      <c r="U156" s="177">
        <f t="shared" ref="U156" si="200">ROUND($M156*Q156,0)</f>
        <v>175750</v>
      </c>
      <c r="V156" s="177">
        <f t="shared" si="175"/>
        <v>9858</v>
      </c>
      <c r="W156" s="177">
        <f t="shared" si="176"/>
        <v>804421</v>
      </c>
      <c r="X156" s="177">
        <f t="shared" si="177"/>
        <v>27</v>
      </c>
      <c r="Y156" s="178">
        <f t="shared" si="178"/>
        <v>3.3565640718354438E-5</v>
      </c>
      <c r="Z156" s="179">
        <f t="shared" si="179"/>
        <v>-11.900000000000034</v>
      </c>
      <c r="AA156" s="180">
        <f t="shared" si="180"/>
        <v>-2.5920278806360345E-2</v>
      </c>
    </row>
    <row r="157" spans="1:27" x14ac:dyDescent="0.55000000000000004">
      <c r="A157" s="229" t="s">
        <v>150</v>
      </c>
      <c r="B157" s="181">
        <f>INDEX(Data[FY2026 Budget Enrollment],MATCH(A157,Data[Label],0))+INDEX(Data[FY2026 ESA],MATCH(A157,Data[Label],0))</f>
        <v>948.7</v>
      </c>
      <c r="C157" s="91">
        <f>INDEX(Data[FY2026 TSS],MATCH(A157,Data[Label],0))</f>
        <v>932.37</v>
      </c>
      <c r="D157" s="91">
        <f>INDEX(Data[FY2026 PD],MATCH(A157,Data[Label],0))</f>
        <v>68.989999999999995</v>
      </c>
      <c r="E157" s="91">
        <f>INDEX(Data[FY2026 Early Intervention],MATCH(A157,Data[Label],0))</f>
        <v>82.68</v>
      </c>
      <c r="F157" s="91">
        <f>INDEX(Data[FY2026 TLC],MATCH(A157,Data[Label],0))</f>
        <v>385.29</v>
      </c>
      <c r="G157" s="182">
        <f t="shared" si="165"/>
        <v>884539</v>
      </c>
      <c r="H157" s="182">
        <f t="shared" si="166"/>
        <v>65451</v>
      </c>
      <c r="I157" s="182">
        <f t="shared" si="167"/>
        <v>78439</v>
      </c>
      <c r="J157" s="182">
        <f t="shared" si="168"/>
        <v>365525</v>
      </c>
      <c r="K157" s="182">
        <f>INDEX(Data[FY2026 TSS Budget Guarantee],MATCH(A157,Data[Label],0))+INDEX(Data[FY2026 PD Budget Guarantee],MATCH(A157,Data[Label],0))+INDEX(Data[FY2026 Early Intervention Budget Guarantee],MATCH(A157,Data[Label],0))+INDEX(Data[FY2026 TLC Budget Gurantee],MATCH(A157,Data[Label],0))</f>
        <v>0</v>
      </c>
      <c r="L157" s="182">
        <f t="shared" si="169"/>
        <v>1393954</v>
      </c>
      <c r="M157" s="181">
        <f>INDEX(Data[FY2027 Budget Enrollment],MATCH(A157,Data[Label],0))+INDEX(Data[FY2027 ESAs],MATCH(A157,Data[Label],0))</f>
        <v>952.6</v>
      </c>
      <c r="N157" s="91">
        <f t="shared" si="170"/>
        <v>946.06000000000006</v>
      </c>
      <c r="O157" s="91">
        <f t="shared" si="171"/>
        <v>70.539999999999992</v>
      </c>
      <c r="P157" s="91">
        <f t="shared" si="172"/>
        <v>84.37</v>
      </c>
      <c r="Q157" s="91">
        <f t="shared" si="173"/>
        <v>393</v>
      </c>
      <c r="R157" s="182">
        <f t="shared" si="181"/>
        <v>901217</v>
      </c>
      <c r="S157" s="182">
        <f t="shared" si="182"/>
        <v>67196</v>
      </c>
      <c r="T157" s="182">
        <f t="shared" si="183"/>
        <v>80371</v>
      </c>
      <c r="U157" s="182">
        <f t="shared" ref="U157" si="201">ROUND($M157*Q157,)</f>
        <v>374372</v>
      </c>
      <c r="V157" s="182">
        <f t="shared" si="175"/>
        <v>0</v>
      </c>
      <c r="W157" s="182">
        <f t="shared" si="176"/>
        <v>1423156</v>
      </c>
      <c r="X157" s="182">
        <f t="shared" si="177"/>
        <v>29202</v>
      </c>
      <c r="Y157" s="183">
        <f t="shared" si="178"/>
        <v>2.0949041360044881E-2</v>
      </c>
      <c r="Z157" s="184">
        <f t="shared" si="179"/>
        <v>3.8999999999999773</v>
      </c>
      <c r="AA157" s="185">
        <f t="shared" si="180"/>
        <v>4.1108885843785994E-3</v>
      </c>
    </row>
    <row r="158" spans="1:27" x14ac:dyDescent="0.55000000000000004">
      <c r="A158" s="230" t="s">
        <v>151</v>
      </c>
      <c r="B158" s="176">
        <f>INDEX(Data[FY2026 Budget Enrollment],MATCH(A158,Data[Label],0))+INDEX(Data[FY2026 ESA],MATCH(A158,Data[Label],0))</f>
        <v>7010.5</v>
      </c>
      <c r="C158" s="218">
        <f>INDEX(Data[FY2026 TSS],MATCH(A158,Data[Label],0))</f>
        <v>715.69</v>
      </c>
      <c r="D158" s="218">
        <f>INDEX(Data[FY2026 PD],MATCH(A158,Data[Label],0))</f>
        <v>71.8</v>
      </c>
      <c r="E158" s="218">
        <f>INDEX(Data[FY2026 Early Intervention],MATCH(A158,Data[Label],0))</f>
        <v>71.680000000000007</v>
      </c>
      <c r="F158" s="218">
        <f>INDEX(Data[FY2026 TLC],MATCH(A158,Data[Label],0))</f>
        <v>385.29</v>
      </c>
      <c r="G158" s="177">
        <f t="shared" si="165"/>
        <v>5017345</v>
      </c>
      <c r="H158" s="177">
        <f t="shared" si="166"/>
        <v>503354</v>
      </c>
      <c r="I158" s="177">
        <f t="shared" si="167"/>
        <v>502513</v>
      </c>
      <c r="J158" s="177">
        <f t="shared" si="168"/>
        <v>2701076</v>
      </c>
      <c r="K158" s="177">
        <f>INDEX(Data[FY2026 TSS Budget Guarantee],MATCH(A158,Data[Label],0))+INDEX(Data[FY2026 PD Budget Guarantee],MATCH(A158,Data[Label],0))+INDEX(Data[FY2026 Early Intervention Budget Guarantee],MATCH(A158,Data[Label],0))+INDEX(Data[FY2026 TLC Budget Gurantee],MATCH(A158,Data[Label],0))</f>
        <v>0</v>
      </c>
      <c r="L158" s="177">
        <f t="shared" si="169"/>
        <v>8724288</v>
      </c>
      <c r="M158" s="176">
        <f>INDEX(Data[FY2027 Budget Enrollment],MATCH(A158,Data[Label],0))+INDEX(Data[FY2027 ESAs],MATCH(A158,Data[Label],0))</f>
        <v>7229</v>
      </c>
      <c r="N158" s="218">
        <f t="shared" si="170"/>
        <v>729.38000000000011</v>
      </c>
      <c r="O158" s="218">
        <f t="shared" si="171"/>
        <v>73.349999999999994</v>
      </c>
      <c r="P158" s="218">
        <f t="shared" si="172"/>
        <v>73.37</v>
      </c>
      <c r="Q158" s="218">
        <f t="shared" si="173"/>
        <v>393</v>
      </c>
      <c r="R158" s="177">
        <f t="shared" si="181"/>
        <v>5272688</v>
      </c>
      <c r="S158" s="177">
        <f t="shared" si="182"/>
        <v>530247</v>
      </c>
      <c r="T158" s="177">
        <f t="shared" si="183"/>
        <v>530392</v>
      </c>
      <c r="U158" s="177">
        <f t="shared" ref="U158" si="202">ROUND($M158*Q158,0)</f>
        <v>2840997</v>
      </c>
      <c r="V158" s="177">
        <f t="shared" si="175"/>
        <v>0</v>
      </c>
      <c r="W158" s="177">
        <f t="shared" si="176"/>
        <v>9174324</v>
      </c>
      <c r="X158" s="177">
        <f t="shared" si="177"/>
        <v>450036</v>
      </c>
      <c r="Y158" s="178">
        <f t="shared" si="178"/>
        <v>5.1584266819252184E-2</v>
      </c>
      <c r="Z158" s="179">
        <f t="shared" si="179"/>
        <v>218.5</v>
      </c>
      <c r="AA158" s="180">
        <f t="shared" si="180"/>
        <v>3.1167534412666714E-2</v>
      </c>
    </row>
    <row r="159" spans="1:27" x14ac:dyDescent="0.55000000000000004">
      <c r="A159" s="229" t="s">
        <v>152</v>
      </c>
      <c r="B159" s="181">
        <f>INDEX(Data[FY2026 Budget Enrollment],MATCH(A159,Data[Label],0))+INDEX(Data[FY2026 ESA],MATCH(A159,Data[Label],0))</f>
        <v>1882.3</v>
      </c>
      <c r="C159" s="91">
        <f>INDEX(Data[FY2026 TSS],MATCH(A159,Data[Label],0))</f>
        <v>800.96</v>
      </c>
      <c r="D159" s="91">
        <f>INDEX(Data[FY2026 PD],MATCH(A159,Data[Label],0))</f>
        <v>79.55</v>
      </c>
      <c r="E159" s="91">
        <f>INDEX(Data[FY2026 Early Intervention],MATCH(A159,Data[Label],0))</f>
        <v>85.97</v>
      </c>
      <c r="F159" s="91">
        <f>INDEX(Data[FY2026 TLC],MATCH(A159,Data[Label],0))</f>
        <v>385.29</v>
      </c>
      <c r="G159" s="182">
        <f t="shared" si="165"/>
        <v>1507647</v>
      </c>
      <c r="H159" s="182">
        <f t="shared" si="166"/>
        <v>149737</v>
      </c>
      <c r="I159" s="182">
        <f t="shared" si="167"/>
        <v>161821</v>
      </c>
      <c r="J159" s="182">
        <f t="shared" si="168"/>
        <v>725231</v>
      </c>
      <c r="K159" s="182">
        <f>INDEX(Data[FY2026 TSS Budget Guarantee],MATCH(A159,Data[Label],0))+INDEX(Data[FY2026 PD Budget Guarantee],MATCH(A159,Data[Label],0))+INDEX(Data[FY2026 Early Intervention Budget Guarantee],MATCH(A159,Data[Label],0))+INDEX(Data[FY2026 TLC Budget Gurantee],MATCH(A159,Data[Label],0))</f>
        <v>0</v>
      </c>
      <c r="L159" s="182">
        <f t="shared" si="169"/>
        <v>2544436</v>
      </c>
      <c r="M159" s="181">
        <f>INDEX(Data[FY2027 Budget Enrollment],MATCH(A159,Data[Label],0))+INDEX(Data[FY2027 ESAs],MATCH(A159,Data[Label],0))</f>
        <v>1854.3</v>
      </c>
      <c r="N159" s="91">
        <f t="shared" si="170"/>
        <v>814.65000000000009</v>
      </c>
      <c r="O159" s="91">
        <f t="shared" si="171"/>
        <v>81.099999999999994</v>
      </c>
      <c r="P159" s="91">
        <f t="shared" si="172"/>
        <v>87.66</v>
      </c>
      <c r="Q159" s="91">
        <f t="shared" si="173"/>
        <v>393</v>
      </c>
      <c r="R159" s="182">
        <f t="shared" si="181"/>
        <v>1510605</v>
      </c>
      <c r="S159" s="182">
        <f t="shared" si="182"/>
        <v>150384</v>
      </c>
      <c r="T159" s="182">
        <f t="shared" si="183"/>
        <v>162548</v>
      </c>
      <c r="U159" s="182">
        <f t="shared" ref="U159" si="203">ROUND($M159*Q159,)</f>
        <v>728740</v>
      </c>
      <c r="V159" s="182">
        <f t="shared" si="175"/>
        <v>0</v>
      </c>
      <c r="W159" s="182">
        <f t="shared" si="176"/>
        <v>2552277</v>
      </c>
      <c r="X159" s="182">
        <f t="shared" si="177"/>
        <v>7841</v>
      </c>
      <c r="Y159" s="183">
        <f t="shared" si="178"/>
        <v>3.0816259477542372E-3</v>
      </c>
      <c r="Z159" s="184">
        <f t="shared" si="179"/>
        <v>-28</v>
      </c>
      <c r="AA159" s="185">
        <f t="shared" si="180"/>
        <v>-1.4875418371141688E-2</v>
      </c>
    </row>
    <row r="160" spans="1:27" x14ac:dyDescent="0.55000000000000004">
      <c r="A160" s="230" t="s">
        <v>153</v>
      </c>
      <c r="B160" s="176">
        <f>INDEX(Data[FY2026 Budget Enrollment],MATCH(A160,Data[Label],0))+INDEX(Data[FY2026 ESA],MATCH(A160,Data[Label],0))</f>
        <v>334.5</v>
      </c>
      <c r="C160" s="218">
        <f>INDEX(Data[FY2026 TSS],MATCH(A160,Data[Label],0))</f>
        <v>1811.81</v>
      </c>
      <c r="D160" s="218">
        <f>INDEX(Data[FY2026 PD],MATCH(A160,Data[Label],0))</f>
        <v>77.02</v>
      </c>
      <c r="E160" s="218">
        <f>INDEX(Data[FY2026 Early Intervention],MATCH(A160,Data[Label],0))</f>
        <v>72.86</v>
      </c>
      <c r="F160" s="218">
        <f>INDEX(Data[FY2026 TLC],MATCH(A160,Data[Label],0))</f>
        <v>385.29</v>
      </c>
      <c r="G160" s="177">
        <f t="shared" si="165"/>
        <v>606050</v>
      </c>
      <c r="H160" s="177">
        <f t="shared" si="166"/>
        <v>25763</v>
      </c>
      <c r="I160" s="177">
        <f t="shared" si="167"/>
        <v>24372</v>
      </c>
      <c r="J160" s="177">
        <f t="shared" si="168"/>
        <v>128880</v>
      </c>
      <c r="K160" s="177">
        <f>INDEX(Data[FY2026 TSS Budget Guarantee],MATCH(A160,Data[Label],0))+INDEX(Data[FY2026 PD Budget Guarantee],MATCH(A160,Data[Label],0))+INDEX(Data[FY2026 Early Intervention Budget Guarantee],MATCH(A160,Data[Label],0))+INDEX(Data[FY2026 TLC Budget Gurantee],MATCH(A160,Data[Label],0))</f>
        <v>3176</v>
      </c>
      <c r="L160" s="177">
        <f t="shared" si="169"/>
        <v>788241</v>
      </c>
      <c r="M160" s="176">
        <f>INDEX(Data[FY2027 Budget Enrollment],MATCH(A160,Data[Label],0))+INDEX(Data[FY2027 ESAs],MATCH(A160,Data[Label],0))</f>
        <v>342.7</v>
      </c>
      <c r="N160" s="218">
        <f t="shared" si="170"/>
        <v>1825.5</v>
      </c>
      <c r="O160" s="218">
        <f t="shared" si="171"/>
        <v>78.569999999999993</v>
      </c>
      <c r="P160" s="218">
        <f t="shared" si="172"/>
        <v>74.55</v>
      </c>
      <c r="Q160" s="218">
        <f t="shared" si="173"/>
        <v>393</v>
      </c>
      <c r="R160" s="177">
        <f t="shared" si="181"/>
        <v>625599</v>
      </c>
      <c r="S160" s="177">
        <f t="shared" si="182"/>
        <v>26926</v>
      </c>
      <c r="T160" s="177">
        <f t="shared" si="183"/>
        <v>25548</v>
      </c>
      <c r="U160" s="177">
        <f t="shared" ref="U160" si="204">ROUND($M160*Q160,0)</f>
        <v>134681</v>
      </c>
      <c r="V160" s="177">
        <f t="shared" si="175"/>
        <v>0</v>
      </c>
      <c r="W160" s="177">
        <f t="shared" si="176"/>
        <v>812754</v>
      </c>
      <c r="X160" s="177">
        <f t="shared" si="177"/>
        <v>24513</v>
      </c>
      <c r="Y160" s="178">
        <f t="shared" si="178"/>
        <v>3.1098356974580108E-2</v>
      </c>
      <c r="Z160" s="179">
        <f t="shared" si="179"/>
        <v>8.1999999999999886</v>
      </c>
      <c r="AA160" s="180">
        <f t="shared" si="180"/>
        <v>2.4514200298953629E-2</v>
      </c>
    </row>
    <row r="161" spans="1:27" x14ac:dyDescent="0.55000000000000004">
      <c r="A161" s="229" t="s">
        <v>154</v>
      </c>
      <c r="B161" s="181">
        <f>INDEX(Data[FY2026 Budget Enrollment],MATCH(A161,Data[Label],0))+INDEX(Data[FY2026 ESA],MATCH(A161,Data[Label],0))</f>
        <v>466.2</v>
      </c>
      <c r="C161" s="91">
        <f>INDEX(Data[FY2026 TSS],MATCH(A161,Data[Label],0))</f>
        <v>1141.92</v>
      </c>
      <c r="D161" s="91">
        <f>INDEX(Data[FY2026 PD],MATCH(A161,Data[Label],0))</f>
        <v>83.64</v>
      </c>
      <c r="E161" s="91">
        <f>INDEX(Data[FY2026 Early Intervention],MATCH(A161,Data[Label],0))</f>
        <v>91.19</v>
      </c>
      <c r="F161" s="91">
        <f>INDEX(Data[FY2026 TLC],MATCH(A161,Data[Label],0))</f>
        <v>385.29</v>
      </c>
      <c r="G161" s="182">
        <f t="shared" si="165"/>
        <v>532363</v>
      </c>
      <c r="H161" s="182">
        <f t="shared" si="166"/>
        <v>38993</v>
      </c>
      <c r="I161" s="182">
        <f t="shared" si="167"/>
        <v>42513</v>
      </c>
      <c r="J161" s="182">
        <f t="shared" si="168"/>
        <v>179622</v>
      </c>
      <c r="K161" s="182">
        <f>INDEX(Data[FY2026 TSS Budget Guarantee],MATCH(A161,Data[Label],0))+INDEX(Data[FY2026 PD Budget Guarantee],MATCH(A161,Data[Label],0))+INDEX(Data[FY2026 Early Intervention Budget Guarantee],MATCH(A161,Data[Label],0))+INDEX(Data[FY2026 TLC Budget Gurantee],MATCH(A161,Data[Label],0))</f>
        <v>0</v>
      </c>
      <c r="L161" s="182">
        <f t="shared" si="169"/>
        <v>793491</v>
      </c>
      <c r="M161" s="181">
        <f>INDEX(Data[FY2027 Budget Enrollment],MATCH(A161,Data[Label],0))+INDEX(Data[FY2027 ESAs],MATCH(A161,Data[Label],0))</f>
        <v>468.1</v>
      </c>
      <c r="N161" s="91">
        <f t="shared" si="170"/>
        <v>1155.6100000000001</v>
      </c>
      <c r="O161" s="91">
        <f t="shared" si="171"/>
        <v>85.19</v>
      </c>
      <c r="P161" s="91">
        <f t="shared" si="172"/>
        <v>92.88</v>
      </c>
      <c r="Q161" s="91">
        <f t="shared" si="173"/>
        <v>393</v>
      </c>
      <c r="R161" s="182">
        <f t="shared" si="181"/>
        <v>540941</v>
      </c>
      <c r="S161" s="182">
        <f t="shared" si="182"/>
        <v>39877</v>
      </c>
      <c r="T161" s="182">
        <f t="shared" si="183"/>
        <v>43477</v>
      </c>
      <c r="U161" s="182">
        <f t="shared" ref="U161" si="205">ROUND($M161*Q161,)</f>
        <v>183963</v>
      </c>
      <c r="V161" s="182">
        <f t="shared" si="175"/>
        <v>0</v>
      </c>
      <c r="W161" s="182">
        <f t="shared" si="176"/>
        <v>808258</v>
      </c>
      <c r="X161" s="182">
        <f t="shared" si="177"/>
        <v>14767</v>
      </c>
      <c r="Y161" s="183">
        <f t="shared" si="178"/>
        <v>1.8610166971017944E-2</v>
      </c>
      <c r="Z161" s="184">
        <f t="shared" si="179"/>
        <v>1.9000000000000341</v>
      </c>
      <c r="AA161" s="185">
        <f t="shared" si="180"/>
        <v>4.0755040755041487E-3</v>
      </c>
    </row>
    <row r="162" spans="1:27" x14ac:dyDescent="0.55000000000000004">
      <c r="A162" s="230" t="s">
        <v>155</v>
      </c>
      <c r="B162" s="176">
        <f>INDEX(Data[FY2026 Budget Enrollment],MATCH(A162,Data[Label],0))+INDEX(Data[FY2026 ESA],MATCH(A162,Data[Label],0))</f>
        <v>1730.4</v>
      </c>
      <c r="C162" s="218">
        <f>INDEX(Data[FY2026 TSS],MATCH(A162,Data[Label],0))</f>
        <v>829.42</v>
      </c>
      <c r="D162" s="218">
        <f>INDEX(Data[FY2026 PD],MATCH(A162,Data[Label],0))</f>
        <v>74.209999999999994</v>
      </c>
      <c r="E162" s="218">
        <f>INDEX(Data[FY2026 Early Intervention],MATCH(A162,Data[Label],0))</f>
        <v>81.88</v>
      </c>
      <c r="F162" s="218">
        <f>INDEX(Data[FY2026 TLC],MATCH(A162,Data[Label],0))</f>
        <v>385.29</v>
      </c>
      <c r="G162" s="177">
        <f t="shared" si="165"/>
        <v>1435228</v>
      </c>
      <c r="H162" s="177">
        <f t="shared" si="166"/>
        <v>128413</v>
      </c>
      <c r="I162" s="177">
        <f t="shared" si="167"/>
        <v>141685</v>
      </c>
      <c r="J162" s="177">
        <f t="shared" si="168"/>
        <v>666706</v>
      </c>
      <c r="K162" s="177">
        <f>INDEX(Data[FY2026 TSS Budget Guarantee],MATCH(A162,Data[Label],0))+INDEX(Data[FY2026 PD Budget Guarantee],MATCH(A162,Data[Label],0))+INDEX(Data[FY2026 Early Intervention Budget Guarantee],MATCH(A162,Data[Label],0))+INDEX(Data[FY2026 TLC Budget Gurantee],MATCH(A162,Data[Label],0))</f>
        <v>0</v>
      </c>
      <c r="L162" s="177">
        <f t="shared" si="169"/>
        <v>2372032</v>
      </c>
      <c r="M162" s="176">
        <f>INDEX(Data[FY2027 Budget Enrollment],MATCH(A162,Data[Label],0))+INDEX(Data[FY2027 ESAs],MATCH(A162,Data[Label],0))</f>
        <v>1673.1</v>
      </c>
      <c r="N162" s="218">
        <f t="shared" si="170"/>
        <v>843.11</v>
      </c>
      <c r="O162" s="218">
        <f t="shared" si="171"/>
        <v>75.759999999999991</v>
      </c>
      <c r="P162" s="218">
        <f t="shared" si="172"/>
        <v>83.57</v>
      </c>
      <c r="Q162" s="218">
        <f t="shared" si="173"/>
        <v>393</v>
      </c>
      <c r="R162" s="177">
        <f t="shared" si="181"/>
        <v>1410607</v>
      </c>
      <c r="S162" s="177">
        <f t="shared" si="182"/>
        <v>126754</v>
      </c>
      <c r="T162" s="177">
        <f t="shared" si="183"/>
        <v>139821</v>
      </c>
      <c r="U162" s="177">
        <f t="shared" ref="U162" si="206">ROUND($M162*Q162,0)</f>
        <v>657528</v>
      </c>
      <c r="V162" s="177">
        <f t="shared" si="175"/>
        <v>37322</v>
      </c>
      <c r="W162" s="177">
        <f t="shared" si="176"/>
        <v>2372032</v>
      </c>
      <c r="X162" s="177">
        <f t="shared" si="177"/>
        <v>0</v>
      </c>
      <c r="Y162" s="178">
        <f t="shared" si="178"/>
        <v>0</v>
      </c>
      <c r="Z162" s="179">
        <f t="shared" si="179"/>
        <v>-57.300000000000182</v>
      </c>
      <c r="AA162" s="180">
        <f t="shared" si="180"/>
        <v>-3.3113730929265013E-2</v>
      </c>
    </row>
    <row r="163" spans="1:27" x14ac:dyDescent="0.55000000000000004">
      <c r="A163" s="229" t="s">
        <v>156</v>
      </c>
      <c r="B163" s="181">
        <f>INDEX(Data[FY2026 Budget Enrollment],MATCH(A163,Data[Label],0))+INDEX(Data[FY2026 ESA],MATCH(A163,Data[Label],0))</f>
        <v>554.9</v>
      </c>
      <c r="C163" s="91">
        <f>INDEX(Data[FY2026 TSS],MATCH(A163,Data[Label],0))</f>
        <v>1019.14</v>
      </c>
      <c r="D163" s="91">
        <f>INDEX(Data[FY2026 PD],MATCH(A163,Data[Label],0))</f>
        <v>75.150000000000006</v>
      </c>
      <c r="E163" s="91">
        <f>INDEX(Data[FY2026 Early Intervention],MATCH(A163,Data[Label],0))</f>
        <v>85.44</v>
      </c>
      <c r="F163" s="91">
        <f>INDEX(Data[FY2026 TLC],MATCH(A163,Data[Label],0))</f>
        <v>385.29</v>
      </c>
      <c r="G163" s="182">
        <f t="shared" si="165"/>
        <v>565521</v>
      </c>
      <c r="H163" s="182">
        <f t="shared" si="166"/>
        <v>41701</v>
      </c>
      <c r="I163" s="182">
        <f t="shared" si="167"/>
        <v>47411</v>
      </c>
      <c r="J163" s="182">
        <f t="shared" si="168"/>
        <v>213797</v>
      </c>
      <c r="K163" s="182">
        <f>INDEX(Data[FY2026 TSS Budget Guarantee],MATCH(A163,Data[Label],0))+INDEX(Data[FY2026 PD Budget Guarantee],MATCH(A163,Data[Label],0))+INDEX(Data[FY2026 Early Intervention Budget Guarantee],MATCH(A163,Data[Label],0))+INDEX(Data[FY2026 TLC Budget Gurantee],MATCH(A163,Data[Label],0))</f>
        <v>0</v>
      </c>
      <c r="L163" s="182">
        <f t="shared" si="169"/>
        <v>868430</v>
      </c>
      <c r="M163" s="181">
        <f>INDEX(Data[FY2027 Budget Enrollment],MATCH(A163,Data[Label],0))+INDEX(Data[FY2027 ESAs],MATCH(A163,Data[Label],0))</f>
        <v>548.5</v>
      </c>
      <c r="N163" s="91">
        <f t="shared" si="170"/>
        <v>1032.83</v>
      </c>
      <c r="O163" s="91">
        <f t="shared" si="171"/>
        <v>76.7</v>
      </c>
      <c r="P163" s="91">
        <f t="shared" si="172"/>
        <v>87.13</v>
      </c>
      <c r="Q163" s="91">
        <f t="shared" si="173"/>
        <v>393</v>
      </c>
      <c r="R163" s="182">
        <f t="shared" si="181"/>
        <v>566507</v>
      </c>
      <c r="S163" s="182">
        <f t="shared" si="182"/>
        <v>42070</v>
      </c>
      <c r="T163" s="182">
        <f t="shared" si="183"/>
        <v>47791</v>
      </c>
      <c r="U163" s="182">
        <f t="shared" ref="U163" si="207">ROUND($M163*Q163,)</f>
        <v>215561</v>
      </c>
      <c r="V163" s="182">
        <f t="shared" si="175"/>
        <v>0</v>
      </c>
      <c r="W163" s="182">
        <f t="shared" si="176"/>
        <v>871929</v>
      </c>
      <c r="X163" s="182">
        <f t="shared" si="177"/>
        <v>3499</v>
      </c>
      <c r="Y163" s="183">
        <f t="shared" si="178"/>
        <v>4.0291100031090588E-3</v>
      </c>
      <c r="Z163" s="184">
        <f t="shared" si="179"/>
        <v>-6.3999999999999773</v>
      </c>
      <c r="AA163" s="185">
        <f t="shared" si="180"/>
        <v>-1.1533609659398049E-2</v>
      </c>
    </row>
    <row r="164" spans="1:27" x14ac:dyDescent="0.55000000000000004">
      <c r="A164" s="230" t="s">
        <v>157</v>
      </c>
      <c r="B164" s="176">
        <f>INDEX(Data[FY2026 Budget Enrollment],MATCH(A164,Data[Label],0))+INDEX(Data[FY2026 ESA],MATCH(A164,Data[Label],0))</f>
        <v>290.3</v>
      </c>
      <c r="C164" s="218">
        <f>INDEX(Data[FY2026 TSS],MATCH(A164,Data[Label],0))</f>
        <v>1440.78</v>
      </c>
      <c r="D164" s="218">
        <f>INDEX(Data[FY2026 PD],MATCH(A164,Data[Label],0))</f>
        <v>83.01</v>
      </c>
      <c r="E164" s="218">
        <f>INDEX(Data[FY2026 Early Intervention],MATCH(A164,Data[Label],0))</f>
        <v>84.41</v>
      </c>
      <c r="F164" s="218">
        <f>INDEX(Data[FY2026 TLC],MATCH(A164,Data[Label],0))</f>
        <v>385.29</v>
      </c>
      <c r="G164" s="177">
        <f t="shared" si="165"/>
        <v>418258</v>
      </c>
      <c r="H164" s="177">
        <f t="shared" si="166"/>
        <v>24098</v>
      </c>
      <c r="I164" s="177">
        <f t="shared" si="167"/>
        <v>24504</v>
      </c>
      <c r="J164" s="177">
        <f t="shared" si="168"/>
        <v>111850</v>
      </c>
      <c r="K164" s="177">
        <f>INDEX(Data[FY2026 TSS Budget Guarantee],MATCH(A164,Data[Label],0))+INDEX(Data[FY2026 PD Budget Guarantee],MATCH(A164,Data[Label],0))+INDEX(Data[FY2026 Early Intervention Budget Guarantee],MATCH(A164,Data[Label],0))+INDEX(Data[FY2026 TLC Budget Gurantee],MATCH(A164,Data[Label],0))</f>
        <v>5069</v>
      </c>
      <c r="L164" s="177">
        <f t="shared" si="169"/>
        <v>583779</v>
      </c>
      <c r="M164" s="176">
        <f>INDEX(Data[FY2027 Budget Enrollment],MATCH(A164,Data[Label],0))+INDEX(Data[FY2027 ESAs],MATCH(A164,Data[Label],0))</f>
        <v>288.89999999999998</v>
      </c>
      <c r="N164" s="218">
        <f t="shared" si="170"/>
        <v>1454.47</v>
      </c>
      <c r="O164" s="218">
        <f t="shared" si="171"/>
        <v>84.56</v>
      </c>
      <c r="P164" s="218">
        <f t="shared" si="172"/>
        <v>86.1</v>
      </c>
      <c r="Q164" s="218">
        <f t="shared" si="173"/>
        <v>393</v>
      </c>
      <c r="R164" s="177">
        <f t="shared" si="181"/>
        <v>420196</v>
      </c>
      <c r="S164" s="177">
        <f t="shared" si="182"/>
        <v>24429</v>
      </c>
      <c r="T164" s="177">
        <f t="shared" si="183"/>
        <v>24874</v>
      </c>
      <c r="U164" s="177">
        <f t="shared" ref="U164" si="208">ROUND($M164*Q164,0)</f>
        <v>113538</v>
      </c>
      <c r="V164" s="177">
        <f t="shared" si="175"/>
        <v>0</v>
      </c>
      <c r="W164" s="177">
        <f t="shared" si="176"/>
        <v>583037</v>
      </c>
      <c r="X164" s="177">
        <f t="shared" si="177"/>
        <v>-742</v>
      </c>
      <c r="Y164" s="178">
        <f t="shared" si="178"/>
        <v>-1.2710289338945047E-3</v>
      </c>
      <c r="Z164" s="179">
        <f t="shared" si="179"/>
        <v>-1.4000000000000341</v>
      </c>
      <c r="AA164" s="180">
        <f t="shared" si="180"/>
        <v>-4.8225973131244713E-3</v>
      </c>
    </row>
    <row r="165" spans="1:27" x14ac:dyDescent="0.55000000000000004">
      <c r="A165" s="229" t="s">
        <v>158</v>
      </c>
      <c r="B165" s="181">
        <f>INDEX(Data[FY2026 Budget Enrollment],MATCH(A165,Data[Label],0))+INDEX(Data[FY2026 ESA],MATCH(A165,Data[Label],0))</f>
        <v>317</v>
      </c>
      <c r="C165" s="91">
        <f>INDEX(Data[FY2026 TSS],MATCH(A165,Data[Label],0))</f>
        <v>1250.3800000000001</v>
      </c>
      <c r="D165" s="91">
        <f>INDEX(Data[FY2026 PD],MATCH(A165,Data[Label],0))</f>
        <v>82.44</v>
      </c>
      <c r="E165" s="91">
        <f>INDEX(Data[FY2026 Early Intervention],MATCH(A165,Data[Label],0))</f>
        <v>79.39</v>
      </c>
      <c r="F165" s="91">
        <f>INDEX(Data[FY2026 TLC],MATCH(A165,Data[Label],0))</f>
        <v>385.29</v>
      </c>
      <c r="G165" s="182">
        <f t="shared" si="165"/>
        <v>396370</v>
      </c>
      <c r="H165" s="182">
        <f t="shared" si="166"/>
        <v>26133</v>
      </c>
      <c r="I165" s="182">
        <f t="shared" si="167"/>
        <v>25167</v>
      </c>
      <c r="J165" s="182">
        <f t="shared" si="168"/>
        <v>122137</v>
      </c>
      <c r="K165" s="182">
        <f>INDEX(Data[FY2026 TSS Budget Guarantee],MATCH(A165,Data[Label],0))+INDEX(Data[FY2026 PD Budget Guarantee],MATCH(A165,Data[Label],0))+INDEX(Data[FY2026 Early Intervention Budget Guarantee],MATCH(A165,Data[Label],0))+INDEX(Data[FY2026 TLC Budget Gurantee],MATCH(A165,Data[Label],0))</f>
        <v>0</v>
      </c>
      <c r="L165" s="182">
        <f t="shared" si="169"/>
        <v>569807</v>
      </c>
      <c r="M165" s="181">
        <f>INDEX(Data[FY2027 Budget Enrollment],MATCH(A165,Data[Label],0))+INDEX(Data[FY2027 ESAs],MATCH(A165,Data[Label],0))</f>
        <v>282</v>
      </c>
      <c r="N165" s="91">
        <f t="shared" si="170"/>
        <v>1264.0700000000002</v>
      </c>
      <c r="O165" s="91">
        <f t="shared" si="171"/>
        <v>83.99</v>
      </c>
      <c r="P165" s="91">
        <f t="shared" si="172"/>
        <v>81.08</v>
      </c>
      <c r="Q165" s="91">
        <f t="shared" si="173"/>
        <v>393</v>
      </c>
      <c r="R165" s="182">
        <f t="shared" si="181"/>
        <v>356468</v>
      </c>
      <c r="S165" s="182">
        <f t="shared" si="182"/>
        <v>23685</v>
      </c>
      <c r="T165" s="182">
        <f t="shared" si="183"/>
        <v>22865</v>
      </c>
      <c r="U165" s="182">
        <f t="shared" ref="U165" si="209">ROUND($M165*Q165,)</f>
        <v>110826</v>
      </c>
      <c r="V165" s="182">
        <f t="shared" si="175"/>
        <v>55963</v>
      </c>
      <c r="W165" s="182">
        <f t="shared" si="176"/>
        <v>569807</v>
      </c>
      <c r="X165" s="182">
        <f t="shared" si="177"/>
        <v>0</v>
      </c>
      <c r="Y165" s="183">
        <f t="shared" si="178"/>
        <v>0</v>
      </c>
      <c r="Z165" s="184">
        <f t="shared" si="179"/>
        <v>-35</v>
      </c>
      <c r="AA165" s="185">
        <f t="shared" si="180"/>
        <v>-0.11041009463722397</v>
      </c>
    </row>
    <row r="166" spans="1:27" x14ac:dyDescent="0.55000000000000004">
      <c r="A166" s="230" t="s">
        <v>159</v>
      </c>
      <c r="B166" s="176">
        <f>INDEX(Data[FY2026 Budget Enrollment],MATCH(A166,Data[Label],0))+INDEX(Data[FY2026 ESA],MATCH(A166,Data[Label],0))</f>
        <v>617.29999999999995</v>
      </c>
      <c r="C166" s="218">
        <f>INDEX(Data[FY2026 TSS],MATCH(A166,Data[Label],0))</f>
        <v>1008.45</v>
      </c>
      <c r="D166" s="218">
        <f>INDEX(Data[FY2026 PD],MATCH(A166,Data[Label],0))</f>
        <v>72.42</v>
      </c>
      <c r="E166" s="218">
        <f>INDEX(Data[FY2026 Early Intervention],MATCH(A166,Data[Label],0))</f>
        <v>71.209999999999994</v>
      </c>
      <c r="F166" s="218">
        <f>INDEX(Data[FY2026 TLC],MATCH(A166,Data[Label],0))</f>
        <v>385.29</v>
      </c>
      <c r="G166" s="177">
        <f t="shared" si="165"/>
        <v>622516</v>
      </c>
      <c r="H166" s="177">
        <f t="shared" si="166"/>
        <v>44705</v>
      </c>
      <c r="I166" s="177">
        <f t="shared" si="167"/>
        <v>43958</v>
      </c>
      <c r="J166" s="177">
        <f t="shared" si="168"/>
        <v>237840</v>
      </c>
      <c r="K166" s="177">
        <f>INDEX(Data[FY2026 TSS Budget Guarantee],MATCH(A166,Data[Label],0))+INDEX(Data[FY2026 PD Budget Guarantee],MATCH(A166,Data[Label],0))+INDEX(Data[FY2026 Early Intervention Budget Guarantee],MATCH(A166,Data[Label],0))+INDEX(Data[FY2026 TLC Budget Gurantee],MATCH(A166,Data[Label],0))</f>
        <v>0</v>
      </c>
      <c r="L166" s="177">
        <f t="shared" si="169"/>
        <v>949019</v>
      </c>
      <c r="M166" s="176">
        <f>INDEX(Data[FY2027 Budget Enrollment],MATCH(A166,Data[Label],0))+INDEX(Data[FY2027 ESAs],MATCH(A166,Data[Label],0))</f>
        <v>628.20000000000005</v>
      </c>
      <c r="N166" s="218">
        <f t="shared" si="170"/>
        <v>1022.1400000000001</v>
      </c>
      <c r="O166" s="218">
        <f t="shared" si="171"/>
        <v>73.97</v>
      </c>
      <c r="P166" s="218">
        <f t="shared" si="172"/>
        <v>72.899999999999991</v>
      </c>
      <c r="Q166" s="218">
        <f t="shared" si="173"/>
        <v>393</v>
      </c>
      <c r="R166" s="177">
        <f t="shared" si="181"/>
        <v>642108</v>
      </c>
      <c r="S166" s="177">
        <f t="shared" si="182"/>
        <v>46468</v>
      </c>
      <c r="T166" s="177">
        <f t="shared" si="183"/>
        <v>45796</v>
      </c>
      <c r="U166" s="177">
        <f t="shared" ref="U166" si="210">ROUND($M166*Q166,0)</f>
        <v>246883</v>
      </c>
      <c r="V166" s="177">
        <f t="shared" si="175"/>
        <v>0</v>
      </c>
      <c r="W166" s="177">
        <f t="shared" si="176"/>
        <v>981255</v>
      </c>
      <c r="X166" s="177">
        <f t="shared" si="177"/>
        <v>32236</v>
      </c>
      <c r="Y166" s="178">
        <f t="shared" si="178"/>
        <v>3.3967707706589648E-2</v>
      </c>
      <c r="Z166" s="179">
        <f t="shared" si="179"/>
        <v>10.900000000000091</v>
      </c>
      <c r="AA166" s="180">
        <f t="shared" si="180"/>
        <v>1.7657540903936647E-2</v>
      </c>
    </row>
    <row r="167" spans="1:27" x14ac:dyDescent="0.55000000000000004">
      <c r="A167" s="229" t="s">
        <v>160</v>
      </c>
      <c r="B167" s="181">
        <f>INDEX(Data[FY2026 Budget Enrollment],MATCH(A167,Data[Label],0))+INDEX(Data[FY2026 ESA],MATCH(A167,Data[Label],0))</f>
        <v>2509.9</v>
      </c>
      <c r="C167" s="91">
        <f>INDEX(Data[FY2026 TSS],MATCH(A167,Data[Label],0))</f>
        <v>743.73</v>
      </c>
      <c r="D167" s="91">
        <f>INDEX(Data[FY2026 PD],MATCH(A167,Data[Label],0))</f>
        <v>76.69</v>
      </c>
      <c r="E167" s="91">
        <f>INDEX(Data[FY2026 Early Intervention],MATCH(A167,Data[Label],0))</f>
        <v>74.06</v>
      </c>
      <c r="F167" s="91">
        <f>INDEX(Data[FY2026 TLC],MATCH(A167,Data[Label],0))</f>
        <v>385.29</v>
      </c>
      <c r="G167" s="182">
        <f t="shared" si="165"/>
        <v>1866688</v>
      </c>
      <c r="H167" s="182">
        <f t="shared" si="166"/>
        <v>192484</v>
      </c>
      <c r="I167" s="182">
        <f t="shared" si="167"/>
        <v>185883</v>
      </c>
      <c r="J167" s="182">
        <f t="shared" si="168"/>
        <v>967039</v>
      </c>
      <c r="K167" s="182">
        <f>INDEX(Data[FY2026 TSS Budget Guarantee],MATCH(A167,Data[Label],0))+INDEX(Data[FY2026 PD Budget Guarantee],MATCH(A167,Data[Label],0))+INDEX(Data[FY2026 Early Intervention Budget Guarantee],MATCH(A167,Data[Label],0))+INDEX(Data[FY2026 TLC Budget Gurantee],MATCH(A167,Data[Label],0))</f>
        <v>0</v>
      </c>
      <c r="L167" s="182">
        <f t="shared" si="169"/>
        <v>3212094</v>
      </c>
      <c r="M167" s="181">
        <f>INDEX(Data[FY2027 Budget Enrollment],MATCH(A167,Data[Label],0))+INDEX(Data[FY2027 ESAs],MATCH(A167,Data[Label],0))</f>
        <v>2616.1</v>
      </c>
      <c r="N167" s="91">
        <f t="shared" si="170"/>
        <v>757.42000000000007</v>
      </c>
      <c r="O167" s="91">
        <f t="shared" si="171"/>
        <v>78.239999999999995</v>
      </c>
      <c r="P167" s="91">
        <f t="shared" si="172"/>
        <v>75.75</v>
      </c>
      <c r="Q167" s="91">
        <f t="shared" si="173"/>
        <v>393</v>
      </c>
      <c r="R167" s="182">
        <f t="shared" si="181"/>
        <v>1981486</v>
      </c>
      <c r="S167" s="182">
        <f t="shared" si="182"/>
        <v>204684</v>
      </c>
      <c r="T167" s="182">
        <f t="shared" si="183"/>
        <v>198170</v>
      </c>
      <c r="U167" s="182">
        <f t="shared" ref="U167" si="211">ROUND($M167*Q167,)</f>
        <v>1028127</v>
      </c>
      <c r="V167" s="182">
        <f t="shared" si="175"/>
        <v>0</v>
      </c>
      <c r="W167" s="182">
        <f t="shared" si="176"/>
        <v>3412467</v>
      </c>
      <c r="X167" s="182">
        <f t="shared" si="177"/>
        <v>200373</v>
      </c>
      <c r="Y167" s="183">
        <f t="shared" si="178"/>
        <v>6.2380802056228743E-2</v>
      </c>
      <c r="Z167" s="184">
        <f t="shared" si="179"/>
        <v>106.19999999999982</v>
      </c>
      <c r="AA167" s="185">
        <f t="shared" si="180"/>
        <v>4.2312442726801791E-2</v>
      </c>
    </row>
    <row r="168" spans="1:27" x14ac:dyDescent="0.55000000000000004">
      <c r="A168" s="230" t="s">
        <v>161</v>
      </c>
      <c r="B168" s="176">
        <f>INDEX(Data[FY2026 Budget Enrollment],MATCH(A168,Data[Label],0))+INDEX(Data[FY2026 ESA],MATCH(A168,Data[Label],0))</f>
        <v>453.4</v>
      </c>
      <c r="C168" s="218">
        <f>INDEX(Data[FY2026 TSS],MATCH(A168,Data[Label],0))</f>
        <v>1302.54</v>
      </c>
      <c r="D168" s="218">
        <f>INDEX(Data[FY2026 PD],MATCH(A168,Data[Label],0))</f>
        <v>85.83</v>
      </c>
      <c r="E168" s="218">
        <f>INDEX(Data[FY2026 Early Intervention],MATCH(A168,Data[Label],0))</f>
        <v>97.73</v>
      </c>
      <c r="F168" s="218">
        <f>INDEX(Data[FY2026 TLC],MATCH(A168,Data[Label],0))</f>
        <v>385.29</v>
      </c>
      <c r="G168" s="177">
        <f t="shared" si="165"/>
        <v>590572</v>
      </c>
      <c r="H168" s="177">
        <f t="shared" si="166"/>
        <v>38915</v>
      </c>
      <c r="I168" s="177">
        <f t="shared" si="167"/>
        <v>44311</v>
      </c>
      <c r="J168" s="177">
        <f t="shared" si="168"/>
        <v>174690</v>
      </c>
      <c r="K168" s="177">
        <f>INDEX(Data[FY2026 TSS Budget Guarantee],MATCH(A168,Data[Label],0))+INDEX(Data[FY2026 PD Budget Guarantee],MATCH(A168,Data[Label],0))+INDEX(Data[FY2026 Early Intervention Budget Guarantee],MATCH(A168,Data[Label],0))+INDEX(Data[FY2026 TLC Budget Gurantee],MATCH(A168,Data[Label],0))</f>
        <v>25</v>
      </c>
      <c r="L168" s="177">
        <f t="shared" si="169"/>
        <v>848513</v>
      </c>
      <c r="M168" s="176">
        <f>INDEX(Data[FY2027 Budget Enrollment],MATCH(A168,Data[Label],0))+INDEX(Data[FY2027 ESAs],MATCH(A168,Data[Label],0))</f>
        <v>424.1</v>
      </c>
      <c r="N168" s="218">
        <f t="shared" si="170"/>
        <v>1316.23</v>
      </c>
      <c r="O168" s="218">
        <f t="shared" si="171"/>
        <v>87.38</v>
      </c>
      <c r="P168" s="218">
        <f t="shared" si="172"/>
        <v>99.42</v>
      </c>
      <c r="Q168" s="218">
        <f t="shared" si="173"/>
        <v>393</v>
      </c>
      <c r="R168" s="177">
        <f t="shared" si="181"/>
        <v>558213</v>
      </c>
      <c r="S168" s="177">
        <f t="shared" si="182"/>
        <v>37058</v>
      </c>
      <c r="T168" s="177">
        <f t="shared" si="183"/>
        <v>42164</v>
      </c>
      <c r="U168" s="177">
        <f t="shared" ref="U168" si="212">ROUND($M168*Q168,0)</f>
        <v>166671</v>
      </c>
      <c r="V168" s="177">
        <f t="shared" si="175"/>
        <v>44382</v>
      </c>
      <c r="W168" s="177">
        <f t="shared" si="176"/>
        <v>848488</v>
      </c>
      <c r="X168" s="177">
        <f t="shared" si="177"/>
        <v>-25</v>
      </c>
      <c r="Y168" s="178">
        <f t="shared" si="178"/>
        <v>-2.9463308163811278E-5</v>
      </c>
      <c r="Z168" s="179">
        <f t="shared" si="179"/>
        <v>-29.299999999999955</v>
      </c>
      <c r="AA168" s="180">
        <f t="shared" si="180"/>
        <v>-6.4622849580943886E-2</v>
      </c>
    </row>
    <row r="169" spans="1:27" x14ac:dyDescent="0.55000000000000004">
      <c r="A169" s="229" t="s">
        <v>162</v>
      </c>
      <c r="B169" s="181">
        <f>INDEX(Data[FY2026 Budget Enrollment],MATCH(A169,Data[Label],0))+INDEX(Data[FY2026 ESA],MATCH(A169,Data[Label],0))</f>
        <v>2776.4</v>
      </c>
      <c r="C169" s="91">
        <f>INDEX(Data[FY2026 TSS],MATCH(A169,Data[Label],0))</f>
        <v>756.86</v>
      </c>
      <c r="D169" s="91">
        <f>INDEX(Data[FY2026 PD],MATCH(A169,Data[Label],0))</f>
        <v>77.73</v>
      </c>
      <c r="E169" s="91">
        <f>INDEX(Data[FY2026 Early Intervention],MATCH(A169,Data[Label],0))</f>
        <v>96.87</v>
      </c>
      <c r="F169" s="91">
        <f>INDEX(Data[FY2026 TLC],MATCH(A169,Data[Label],0))</f>
        <v>385.29</v>
      </c>
      <c r="G169" s="182">
        <f t="shared" si="165"/>
        <v>2101346</v>
      </c>
      <c r="H169" s="182">
        <f t="shared" si="166"/>
        <v>215810</v>
      </c>
      <c r="I169" s="182">
        <f t="shared" si="167"/>
        <v>268950</v>
      </c>
      <c r="J169" s="182">
        <f t="shared" si="168"/>
        <v>1069719</v>
      </c>
      <c r="K169" s="182">
        <f>INDEX(Data[FY2026 TSS Budget Guarantee],MATCH(A169,Data[Label],0))+INDEX(Data[FY2026 PD Budget Guarantee],MATCH(A169,Data[Label],0))+INDEX(Data[FY2026 Early Intervention Budget Guarantee],MATCH(A169,Data[Label],0))+INDEX(Data[FY2026 TLC Budget Gurantee],MATCH(A169,Data[Label],0))</f>
        <v>0</v>
      </c>
      <c r="L169" s="182">
        <f t="shared" si="169"/>
        <v>3655825</v>
      </c>
      <c r="M169" s="181">
        <f>INDEX(Data[FY2027 Budget Enrollment],MATCH(A169,Data[Label],0))+INDEX(Data[FY2027 ESAs],MATCH(A169,Data[Label],0))</f>
        <v>2788.4</v>
      </c>
      <c r="N169" s="91">
        <f t="shared" si="170"/>
        <v>770.55000000000007</v>
      </c>
      <c r="O169" s="91">
        <f t="shared" si="171"/>
        <v>79.28</v>
      </c>
      <c r="P169" s="91">
        <f t="shared" si="172"/>
        <v>98.56</v>
      </c>
      <c r="Q169" s="91">
        <f t="shared" si="173"/>
        <v>393</v>
      </c>
      <c r="R169" s="182">
        <f t="shared" si="181"/>
        <v>2148602</v>
      </c>
      <c r="S169" s="182">
        <f t="shared" si="182"/>
        <v>221064</v>
      </c>
      <c r="T169" s="182">
        <f t="shared" si="183"/>
        <v>274825</v>
      </c>
      <c r="U169" s="182">
        <f t="shared" ref="U169" si="213">ROUND($M169*Q169,)</f>
        <v>1095841</v>
      </c>
      <c r="V169" s="182">
        <f t="shared" si="175"/>
        <v>0</v>
      </c>
      <c r="W169" s="182">
        <f t="shared" si="176"/>
        <v>3740332</v>
      </c>
      <c r="X169" s="182">
        <f t="shared" si="177"/>
        <v>84507</v>
      </c>
      <c r="Y169" s="183">
        <f t="shared" si="178"/>
        <v>2.3115712595652146E-2</v>
      </c>
      <c r="Z169" s="184">
        <f t="shared" si="179"/>
        <v>12</v>
      </c>
      <c r="AA169" s="185">
        <f t="shared" si="180"/>
        <v>4.322143783316525E-3</v>
      </c>
    </row>
    <row r="170" spans="1:27" x14ac:dyDescent="0.55000000000000004">
      <c r="A170" s="230" t="s">
        <v>163</v>
      </c>
      <c r="B170" s="176">
        <f>INDEX(Data[FY2026 Budget Enrollment],MATCH(A170,Data[Label],0))+INDEX(Data[FY2026 ESA],MATCH(A170,Data[Label],0))</f>
        <v>7920.7</v>
      </c>
      <c r="C170" s="218">
        <f>INDEX(Data[FY2026 TSS],MATCH(A170,Data[Label],0))</f>
        <v>726.75</v>
      </c>
      <c r="D170" s="218">
        <f>INDEX(Data[FY2026 PD],MATCH(A170,Data[Label],0))</f>
        <v>72.48</v>
      </c>
      <c r="E170" s="218">
        <f>INDEX(Data[FY2026 Early Intervention],MATCH(A170,Data[Label],0))</f>
        <v>72.680000000000007</v>
      </c>
      <c r="F170" s="218">
        <f>INDEX(Data[FY2026 TLC],MATCH(A170,Data[Label],0))</f>
        <v>385.29</v>
      </c>
      <c r="G170" s="177">
        <f t="shared" si="165"/>
        <v>5756369</v>
      </c>
      <c r="H170" s="177">
        <f t="shared" si="166"/>
        <v>574092</v>
      </c>
      <c r="I170" s="177">
        <f t="shared" si="167"/>
        <v>575676</v>
      </c>
      <c r="J170" s="177">
        <f t="shared" si="168"/>
        <v>3051767</v>
      </c>
      <c r="K170" s="177">
        <f>INDEX(Data[FY2026 TSS Budget Guarantee],MATCH(A170,Data[Label],0))+INDEX(Data[FY2026 PD Budget Guarantee],MATCH(A170,Data[Label],0))+INDEX(Data[FY2026 Early Intervention Budget Guarantee],MATCH(A170,Data[Label],0))+INDEX(Data[FY2026 TLC Budget Gurantee],MATCH(A170,Data[Label],0))</f>
        <v>0</v>
      </c>
      <c r="L170" s="177">
        <f t="shared" si="169"/>
        <v>9957904</v>
      </c>
      <c r="M170" s="176">
        <f>INDEX(Data[FY2027 Budget Enrollment],MATCH(A170,Data[Label],0))+INDEX(Data[FY2027 ESAs],MATCH(A170,Data[Label],0))</f>
        <v>8085.7</v>
      </c>
      <c r="N170" s="218">
        <f t="shared" si="170"/>
        <v>740.44</v>
      </c>
      <c r="O170" s="218">
        <f t="shared" si="171"/>
        <v>74.03</v>
      </c>
      <c r="P170" s="218">
        <f t="shared" si="172"/>
        <v>74.37</v>
      </c>
      <c r="Q170" s="218">
        <f t="shared" si="173"/>
        <v>393</v>
      </c>
      <c r="R170" s="177">
        <f t="shared" si="181"/>
        <v>5986976</v>
      </c>
      <c r="S170" s="177">
        <f t="shared" si="182"/>
        <v>598584</v>
      </c>
      <c r="T170" s="177">
        <f t="shared" si="183"/>
        <v>601334</v>
      </c>
      <c r="U170" s="177">
        <f t="shared" ref="U170" si="214">ROUND($M170*Q170,0)</f>
        <v>3177680</v>
      </c>
      <c r="V170" s="177">
        <f t="shared" si="175"/>
        <v>0</v>
      </c>
      <c r="W170" s="177">
        <f t="shared" si="176"/>
        <v>10364574</v>
      </c>
      <c r="X170" s="177">
        <f t="shared" si="177"/>
        <v>406670</v>
      </c>
      <c r="Y170" s="178">
        <f t="shared" si="178"/>
        <v>4.0838915498683258E-2</v>
      </c>
      <c r="Z170" s="179">
        <f t="shared" si="179"/>
        <v>165</v>
      </c>
      <c r="AA170" s="180">
        <f t="shared" si="180"/>
        <v>2.0831492166096432E-2</v>
      </c>
    </row>
    <row r="171" spans="1:27" x14ac:dyDescent="0.55000000000000004">
      <c r="A171" s="229" t="s">
        <v>164</v>
      </c>
      <c r="B171" s="181">
        <f>INDEX(Data[FY2026 Budget Enrollment],MATCH(A171,Data[Label],0))+INDEX(Data[FY2026 ESA],MATCH(A171,Data[Label],0))</f>
        <v>680.4</v>
      </c>
      <c r="C171" s="91">
        <f>INDEX(Data[FY2026 TSS],MATCH(A171,Data[Label],0))</f>
        <v>1190.9100000000001</v>
      </c>
      <c r="D171" s="91">
        <f>INDEX(Data[FY2026 PD],MATCH(A171,Data[Label],0))</f>
        <v>66.19</v>
      </c>
      <c r="E171" s="91">
        <f>INDEX(Data[FY2026 Early Intervention],MATCH(A171,Data[Label],0))</f>
        <v>66.33</v>
      </c>
      <c r="F171" s="91">
        <f>INDEX(Data[FY2026 TLC],MATCH(A171,Data[Label],0))</f>
        <v>385.29</v>
      </c>
      <c r="G171" s="182">
        <f t="shared" si="165"/>
        <v>810295</v>
      </c>
      <c r="H171" s="182">
        <f t="shared" si="166"/>
        <v>45036</v>
      </c>
      <c r="I171" s="182">
        <f t="shared" si="167"/>
        <v>45131</v>
      </c>
      <c r="J171" s="182">
        <f t="shared" si="168"/>
        <v>262151</v>
      </c>
      <c r="K171" s="182">
        <f>INDEX(Data[FY2026 TSS Budget Guarantee],MATCH(A171,Data[Label],0))+INDEX(Data[FY2026 PD Budget Guarantee],MATCH(A171,Data[Label],0))+INDEX(Data[FY2026 Early Intervention Budget Guarantee],MATCH(A171,Data[Label],0))+INDEX(Data[FY2026 TLC Budget Gurantee],MATCH(A171,Data[Label],0))</f>
        <v>0</v>
      </c>
      <c r="L171" s="182">
        <f t="shared" si="169"/>
        <v>1162613</v>
      </c>
      <c r="M171" s="181">
        <f>INDEX(Data[FY2027 Budget Enrollment],MATCH(A171,Data[Label],0))+INDEX(Data[FY2027 ESAs],MATCH(A171,Data[Label],0))</f>
        <v>676.7</v>
      </c>
      <c r="N171" s="91">
        <f t="shared" si="170"/>
        <v>1204.6000000000001</v>
      </c>
      <c r="O171" s="91">
        <f t="shared" si="171"/>
        <v>67.739999999999995</v>
      </c>
      <c r="P171" s="91">
        <f t="shared" si="172"/>
        <v>68.02</v>
      </c>
      <c r="Q171" s="91">
        <f t="shared" si="173"/>
        <v>393</v>
      </c>
      <c r="R171" s="182">
        <f t="shared" si="181"/>
        <v>815153</v>
      </c>
      <c r="S171" s="182">
        <f t="shared" si="182"/>
        <v>45840</v>
      </c>
      <c r="T171" s="182">
        <f t="shared" si="183"/>
        <v>46029</v>
      </c>
      <c r="U171" s="182">
        <f t="shared" ref="U171" si="215">ROUND($M171*Q171,)</f>
        <v>265943</v>
      </c>
      <c r="V171" s="182">
        <f t="shared" si="175"/>
        <v>0</v>
      </c>
      <c r="W171" s="182">
        <f t="shared" si="176"/>
        <v>1172965</v>
      </c>
      <c r="X171" s="182">
        <f t="shared" si="177"/>
        <v>10352</v>
      </c>
      <c r="Y171" s="183">
        <f t="shared" si="178"/>
        <v>8.9040807216158781E-3</v>
      </c>
      <c r="Z171" s="184">
        <f t="shared" si="179"/>
        <v>-3.6999999999999318</v>
      </c>
      <c r="AA171" s="185">
        <f t="shared" si="180"/>
        <v>-5.4379776601997821E-3</v>
      </c>
    </row>
    <row r="172" spans="1:27" x14ac:dyDescent="0.55000000000000004">
      <c r="A172" s="230" t="s">
        <v>165</v>
      </c>
      <c r="B172" s="176">
        <f>INDEX(Data[FY2026 Budget Enrollment],MATCH(A172,Data[Label],0))+INDEX(Data[FY2026 ESA],MATCH(A172,Data[Label],0))</f>
        <v>588</v>
      </c>
      <c r="C172" s="218">
        <f>INDEX(Data[FY2026 TSS],MATCH(A172,Data[Label],0))</f>
        <v>1219.54</v>
      </c>
      <c r="D172" s="218">
        <f>INDEX(Data[FY2026 PD],MATCH(A172,Data[Label],0))</f>
        <v>76.959999999999994</v>
      </c>
      <c r="E172" s="218">
        <f>INDEX(Data[FY2026 Early Intervention],MATCH(A172,Data[Label],0))</f>
        <v>79.11</v>
      </c>
      <c r="F172" s="218">
        <f>INDEX(Data[FY2026 TLC],MATCH(A172,Data[Label],0))</f>
        <v>385.29</v>
      </c>
      <c r="G172" s="177">
        <f t="shared" si="165"/>
        <v>717090</v>
      </c>
      <c r="H172" s="177">
        <f t="shared" si="166"/>
        <v>45252</v>
      </c>
      <c r="I172" s="177">
        <f t="shared" si="167"/>
        <v>46517</v>
      </c>
      <c r="J172" s="177">
        <f t="shared" si="168"/>
        <v>226551</v>
      </c>
      <c r="K172" s="177">
        <f>INDEX(Data[FY2026 TSS Budget Guarantee],MATCH(A172,Data[Label],0))+INDEX(Data[FY2026 PD Budget Guarantee],MATCH(A172,Data[Label],0))+INDEX(Data[FY2026 Early Intervention Budget Guarantee],MATCH(A172,Data[Label],0))+INDEX(Data[FY2026 TLC Budget Gurantee],MATCH(A172,Data[Label],0))</f>
        <v>0</v>
      </c>
      <c r="L172" s="177">
        <f t="shared" si="169"/>
        <v>1035410</v>
      </c>
      <c r="M172" s="176">
        <f>INDEX(Data[FY2027 Budget Enrollment],MATCH(A172,Data[Label],0))+INDEX(Data[FY2027 ESAs],MATCH(A172,Data[Label],0))</f>
        <v>554.4</v>
      </c>
      <c r="N172" s="218">
        <f t="shared" si="170"/>
        <v>1233.23</v>
      </c>
      <c r="O172" s="218">
        <f t="shared" si="171"/>
        <v>78.509999999999991</v>
      </c>
      <c r="P172" s="218">
        <f t="shared" si="172"/>
        <v>80.8</v>
      </c>
      <c r="Q172" s="218">
        <f t="shared" si="173"/>
        <v>393</v>
      </c>
      <c r="R172" s="177">
        <f t="shared" si="181"/>
        <v>683703</v>
      </c>
      <c r="S172" s="177">
        <f t="shared" si="182"/>
        <v>43526</v>
      </c>
      <c r="T172" s="177">
        <f t="shared" si="183"/>
        <v>44796</v>
      </c>
      <c r="U172" s="177">
        <f t="shared" ref="U172" si="216">ROUND($M172*Q172,0)</f>
        <v>217879</v>
      </c>
      <c r="V172" s="177">
        <f t="shared" si="175"/>
        <v>45506</v>
      </c>
      <c r="W172" s="177">
        <f t="shared" si="176"/>
        <v>1035410</v>
      </c>
      <c r="X172" s="177">
        <f t="shared" si="177"/>
        <v>0</v>
      </c>
      <c r="Y172" s="178">
        <f t="shared" si="178"/>
        <v>0</v>
      </c>
      <c r="Z172" s="179">
        <f t="shared" si="179"/>
        <v>-33.600000000000023</v>
      </c>
      <c r="AA172" s="180">
        <f t="shared" si="180"/>
        <v>-5.7142857142857183E-2</v>
      </c>
    </row>
    <row r="173" spans="1:27" x14ac:dyDescent="0.55000000000000004">
      <c r="A173" s="229" t="s">
        <v>166</v>
      </c>
      <c r="B173" s="181">
        <f>INDEX(Data[FY2026 Budget Enrollment],MATCH(A173,Data[Label],0))+INDEX(Data[FY2026 ESA],MATCH(A173,Data[Label],0))</f>
        <v>306.8</v>
      </c>
      <c r="C173" s="91">
        <f>INDEX(Data[FY2026 TSS],MATCH(A173,Data[Label],0))</f>
        <v>1955.37</v>
      </c>
      <c r="D173" s="91">
        <f>INDEX(Data[FY2026 PD],MATCH(A173,Data[Label],0))</f>
        <v>79.17</v>
      </c>
      <c r="E173" s="91">
        <f>INDEX(Data[FY2026 Early Intervention],MATCH(A173,Data[Label],0))</f>
        <v>86.79</v>
      </c>
      <c r="F173" s="91">
        <f>INDEX(Data[FY2026 TLC],MATCH(A173,Data[Label],0))</f>
        <v>385.29</v>
      </c>
      <c r="G173" s="182">
        <f t="shared" si="165"/>
        <v>599908</v>
      </c>
      <c r="H173" s="182">
        <f t="shared" si="166"/>
        <v>24289</v>
      </c>
      <c r="I173" s="182">
        <f t="shared" si="167"/>
        <v>26627</v>
      </c>
      <c r="J173" s="182">
        <f t="shared" si="168"/>
        <v>118207</v>
      </c>
      <c r="K173" s="182">
        <f>INDEX(Data[FY2026 TSS Budget Guarantee],MATCH(A173,Data[Label],0))+INDEX(Data[FY2026 PD Budget Guarantee],MATCH(A173,Data[Label],0))+INDEX(Data[FY2026 Early Intervention Budget Guarantee],MATCH(A173,Data[Label],0))+INDEX(Data[FY2026 TLC Budget Gurantee],MATCH(A173,Data[Label],0))</f>
        <v>0</v>
      </c>
      <c r="L173" s="182">
        <f t="shared" si="169"/>
        <v>769031</v>
      </c>
      <c r="M173" s="181">
        <f>INDEX(Data[FY2027 Budget Enrollment],MATCH(A173,Data[Label],0))+INDEX(Data[FY2027 ESAs],MATCH(A173,Data[Label],0))</f>
        <v>289.39999999999998</v>
      </c>
      <c r="N173" s="91">
        <f t="shared" si="170"/>
        <v>1969.06</v>
      </c>
      <c r="O173" s="91">
        <f t="shared" si="171"/>
        <v>80.72</v>
      </c>
      <c r="P173" s="91">
        <f t="shared" si="172"/>
        <v>88.48</v>
      </c>
      <c r="Q173" s="91">
        <f t="shared" si="173"/>
        <v>393</v>
      </c>
      <c r="R173" s="182">
        <f t="shared" si="181"/>
        <v>569846</v>
      </c>
      <c r="S173" s="182">
        <f t="shared" si="182"/>
        <v>23360</v>
      </c>
      <c r="T173" s="182">
        <f t="shared" si="183"/>
        <v>25606</v>
      </c>
      <c r="U173" s="182">
        <f t="shared" ref="U173" si="217">ROUND($M173*Q173,)</f>
        <v>113734</v>
      </c>
      <c r="V173" s="182">
        <f t="shared" si="175"/>
        <v>36485</v>
      </c>
      <c r="W173" s="182">
        <f t="shared" si="176"/>
        <v>769031</v>
      </c>
      <c r="X173" s="182">
        <f t="shared" si="177"/>
        <v>0</v>
      </c>
      <c r="Y173" s="183">
        <f t="shared" si="178"/>
        <v>0</v>
      </c>
      <c r="Z173" s="184">
        <f t="shared" si="179"/>
        <v>-17.400000000000034</v>
      </c>
      <c r="AA173" s="185">
        <f t="shared" si="180"/>
        <v>-5.6714471968709365E-2</v>
      </c>
    </row>
    <row r="174" spans="1:27" x14ac:dyDescent="0.55000000000000004">
      <c r="A174" s="230" t="s">
        <v>167</v>
      </c>
      <c r="B174" s="176">
        <f>INDEX(Data[FY2026 Budget Enrollment],MATCH(A174,Data[Label],0))+INDEX(Data[FY2026 ESA],MATCH(A174,Data[Label],0))</f>
        <v>671</v>
      </c>
      <c r="C174" s="218">
        <f>INDEX(Data[FY2026 TSS],MATCH(A174,Data[Label],0))</f>
        <v>1083.68</v>
      </c>
      <c r="D174" s="218">
        <f>INDEX(Data[FY2026 PD],MATCH(A174,Data[Label],0))</f>
        <v>84.69</v>
      </c>
      <c r="E174" s="218">
        <f>INDEX(Data[FY2026 Early Intervention],MATCH(A174,Data[Label],0))</f>
        <v>79.48</v>
      </c>
      <c r="F174" s="218">
        <f>INDEX(Data[FY2026 TLC],MATCH(A174,Data[Label],0))</f>
        <v>385.29</v>
      </c>
      <c r="G174" s="177">
        <f t="shared" si="165"/>
        <v>727149</v>
      </c>
      <c r="H174" s="177">
        <f t="shared" si="166"/>
        <v>56827</v>
      </c>
      <c r="I174" s="177">
        <f t="shared" si="167"/>
        <v>53331</v>
      </c>
      <c r="J174" s="177">
        <f t="shared" si="168"/>
        <v>258530</v>
      </c>
      <c r="K174" s="177">
        <f>INDEX(Data[FY2026 TSS Budget Guarantee],MATCH(A174,Data[Label],0))+INDEX(Data[FY2026 PD Budget Guarantee],MATCH(A174,Data[Label],0))+INDEX(Data[FY2026 Early Intervention Budget Guarantee],MATCH(A174,Data[Label],0))+INDEX(Data[FY2026 TLC Budget Gurantee],MATCH(A174,Data[Label],0))</f>
        <v>0</v>
      </c>
      <c r="L174" s="177">
        <f t="shared" si="169"/>
        <v>1095837</v>
      </c>
      <c r="M174" s="176">
        <f>INDEX(Data[FY2027 Budget Enrollment],MATCH(A174,Data[Label],0))+INDEX(Data[FY2027 ESAs],MATCH(A174,Data[Label],0))</f>
        <v>652.6</v>
      </c>
      <c r="N174" s="218">
        <f t="shared" si="170"/>
        <v>1097.3700000000001</v>
      </c>
      <c r="O174" s="218">
        <f t="shared" si="171"/>
        <v>86.24</v>
      </c>
      <c r="P174" s="218">
        <f t="shared" si="172"/>
        <v>81.17</v>
      </c>
      <c r="Q174" s="218">
        <f t="shared" si="173"/>
        <v>393</v>
      </c>
      <c r="R174" s="177">
        <f t="shared" si="181"/>
        <v>716144</v>
      </c>
      <c r="S174" s="177">
        <f t="shared" si="182"/>
        <v>56280</v>
      </c>
      <c r="T174" s="177">
        <f t="shared" si="183"/>
        <v>52972</v>
      </c>
      <c r="U174" s="177">
        <f t="shared" ref="U174" si="218">ROUND($M174*Q174,0)</f>
        <v>256472</v>
      </c>
      <c r="V174" s="177">
        <f t="shared" si="175"/>
        <v>13969</v>
      </c>
      <c r="W174" s="177">
        <f t="shared" si="176"/>
        <v>1095837</v>
      </c>
      <c r="X174" s="177">
        <f t="shared" si="177"/>
        <v>0</v>
      </c>
      <c r="Y174" s="178">
        <f t="shared" si="178"/>
        <v>0</v>
      </c>
      <c r="Z174" s="179">
        <f t="shared" si="179"/>
        <v>-18.399999999999977</v>
      </c>
      <c r="AA174" s="180">
        <f t="shared" si="180"/>
        <v>-2.7421758569299518E-2</v>
      </c>
    </row>
    <row r="175" spans="1:27" x14ac:dyDescent="0.55000000000000004">
      <c r="A175" s="229" t="s">
        <v>168</v>
      </c>
      <c r="B175" s="181">
        <f>INDEX(Data[FY2026 Budget Enrollment],MATCH(A175,Data[Label],0))+INDEX(Data[FY2026 ESA],MATCH(A175,Data[Label],0))</f>
        <v>483.8</v>
      </c>
      <c r="C175" s="91">
        <f>INDEX(Data[FY2026 TSS],MATCH(A175,Data[Label],0))</f>
        <v>1155.52</v>
      </c>
      <c r="D175" s="91">
        <f>INDEX(Data[FY2026 PD],MATCH(A175,Data[Label],0))</f>
        <v>71.209999999999994</v>
      </c>
      <c r="E175" s="91">
        <f>INDEX(Data[FY2026 Early Intervention],MATCH(A175,Data[Label],0))</f>
        <v>72.760000000000005</v>
      </c>
      <c r="F175" s="91">
        <f>INDEX(Data[FY2026 TLC],MATCH(A175,Data[Label],0))</f>
        <v>385.29</v>
      </c>
      <c r="G175" s="182">
        <f t="shared" si="165"/>
        <v>559041</v>
      </c>
      <c r="H175" s="182">
        <f t="shared" si="166"/>
        <v>34451</v>
      </c>
      <c r="I175" s="182">
        <f t="shared" si="167"/>
        <v>35201</v>
      </c>
      <c r="J175" s="182">
        <f t="shared" si="168"/>
        <v>186403</v>
      </c>
      <c r="K175" s="182">
        <f>INDEX(Data[FY2026 TSS Budget Guarantee],MATCH(A175,Data[Label],0))+INDEX(Data[FY2026 PD Budget Guarantee],MATCH(A175,Data[Label],0))+INDEX(Data[FY2026 Early Intervention Budget Guarantee],MATCH(A175,Data[Label],0))+INDEX(Data[FY2026 TLC Budget Gurantee],MATCH(A175,Data[Label],0))</f>
        <v>0</v>
      </c>
      <c r="L175" s="182">
        <f t="shared" si="169"/>
        <v>815096</v>
      </c>
      <c r="M175" s="181">
        <f>INDEX(Data[FY2027 Budget Enrollment],MATCH(A175,Data[Label],0))+INDEX(Data[FY2027 ESAs],MATCH(A175,Data[Label],0))</f>
        <v>491.7</v>
      </c>
      <c r="N175" s="91">
        <f t="shared" si="170"/>
        <v>1169.21</v>
      </c>
      <c r="O175" s="91">
        <f t="shared" si="171"/>
        <v>72.759999999999991</v>
      </c>
      <c r="P175" s="91">
        <f t="shared" si="172"/>
        <v>74.45</v>
      </c>
      <c r="Q175" s="91">
        <f t="shared" si="173"/>
        <v>393</v>
      </c>
      <c r="R175" s="182">
        <f t="shared" si="181"/>
        <v>574901</v>
      </c>
      <c r="S175" s="182">
        <f t="shared" si="182"/>
        <v>35776</v>
      </c>
      <c r="T175" s="182">
        <f t="shared" si="183"/>
        <v>36607</v>
      </c>
      <c r="U175" s="182">
        <f t="shared" ref="U175" si="219">ROUND($M175*Q175,)</f>
        <v>193238</v>
      </c>
      <c r="V175" s="182">
        <f t="shared" si="175"/>
        <v>0</v>
      </c>
      <c r="W175" s="182">
        <f t="shared" si="176"/>
        <v>840522</v>
      </c>
      <c r="X175" s="182">
        <f t="shared" si="177"/>
        <v>25426</v>
      </c>
      <c r="Y175" s="183">
        <f t="shared" si="178"/>
        <v>3.1193871642113322E-2</v>
      </c>
      <c r="Z175" s="184">
        <f t="shared" si="179"/>
        <v>7.8999999999999773</v>
      </c>
      <c r="AA175" s="185">
        <f t="shared" si="180"/>
        <v>1.6329061595700654E-2</v>
      </c>
    </row>
    <row r="176" spans="1:27" x14ac:dyDescent="0.55000000000000004">
      <c r="A176" s="230" t="s">
        <v>169</v>
      </c>
      <c r="B176" s="176">
        <f>INDEX(Data[FY2026 Budget Enrollment],MATCH(A176,Data[Label],0))+INDEX(Data[FY2026 ESA],MATCH(A176,Data[Label],0))</f>
        <v>797.9</v>
      </c>
      <c r="C176" s="218">
        <f>INDEX(Data[FY2026 TSS],MATCH(A176,Data[Label],0))</f>
        <v>1043.95</v>
      </c>
      <c r="D176" s="218">
        <f>INDEX(Data[FY2026 PD],MATCH(A176,Data[Label],0))</f>
        <v>84.18</v>
      </c>
      <c r="E176" s="218">
        <f>INDEX(Data[FY2026 Early Intervention],MATCH(A176,Data[Label],0))</f>
        <v>86.27</v>
      </c>
      <c r="F176" s="218">
        <f>INDEX(Data[FY2026 TLC],MATCH(A176,Data[Label],0))</f>
        <v>385.29</v>
      </c>
      <c r="G176" s="177">
        <f t="shared" si="165"/>
        <v>832968</v>
      </c>
      <c r="H176" s="177">
        <f t="shared" si="166"/>
        <v>67167</v>
      </c>
      <c r="I176" s="177">
        <f t="shared" si="167"/>
        <v>68835</v>
      </c>
      <c r="J176" s="177">
        <f t="shared" si="168"/>
        <v>307423</v>
      </c>
      <c r="K176" s="177">
        <f>INDEX(Data[FY2026 TSS Budget Guarantee],MATCH(A176,Data[Label],0))+INDEX(Data[FY2026 PD Budget Guarantee],MATCH(A176,Data[Label],0))+INDEX(Data[FY2026 Early Intervention Budget Guarantee],MATCH(A176,Data[Label],0))+INDEX(Data[FY2026 TLC Budget Gurantee],MATCH(A176,Data[Label],0))</f>
        <v>1466</v>
      </c>
      <c r="L176" s="177">
        <f t="shared" si="169"/>
        <v>1277859</v>
      </c>
      <c r="M176" s="176">
        <f>INDEX(Data[FY2027 Budget Enrollment],MATCH(A176,Data[Label],0))+INDEX(Data[FY2027 ESAs],MATCH(A176,Data[Label],0))</f>
        <v>804.1</v>
      </c>
      <c r="N176" s="218">
        <f t="shared" si="170"/>
        <v>1057.6400000000001</v>
      </c>
      <c r="O176" s="218">
        <f t="shared" si="171"/>
        <v>85.73</v>
      </c>
      <c r="P176" s="218">
        <f t="shared" si="172"/>
        <v>87.96</v>
      </c>
      <c r="Q176" s="218">
        <f t="shared" si="173"/>
        <v>393</v>
      </c>
      <c r="R176" s="177">
        <f t="shared" si="181"/>
        <v>850448</v>
      </c>
      <c r="S176" s="177">
        <f t="shared" si="182"/>
        <v>68935</v>
      </c>
      <c r="T176" s="177">
        <f t="shared" si="183"/>
        <v>70729</v>
      </c>
      <c r="U176" s="177">
        <f t="shared" ref="U176" si="220">ROUND($M176*Q176,0)</f>
        <v>316011</v>
      </c>
      <c r="V176" s="177">
        <f t="shared" si="175"/>
        <v>0</v>
      </c>
      <c r="W176" s="177">
        <f t="shared" si="176"/>
        <v>1306123</v>
      </c>
      <c r="X176" s="177">
        <f t="shared" si="177"/>
        <v>28264</v>
      </c>
      <c r="Y176" s="178">
        <f t="shared" si="178"/>
        <v>2.2118246222783577E-2</v>
      </c>
      <c r="Z176" s="179">
        <f t="shared" si="179"/>
        <v>6.2000000000000455</v>
      </c>
      <c r="AA176" s="180">
        <f t="shared" si="180"/>
        <v>7.7703972928939036E-3</v>
      </c>
    </row>
    <row r="177" spans="1:27" x14ac:dyDescent="0.55000000000000004">
      <c r="A177" s="229" t="s">
        <v>170</v>
      </c>
      <c r="B177" s="181">
        <f>INDEX(Data[FY2026 Budget Enrollment],MATCH(A177,Data[Label],0))+INDEX(Data[FY2026 ESA],MATCH(A177,Data[Label],0))</f>
        <v>620.5</v>
      </c>
      <c r="C177" s="91">
        <f>INDEX(Data[FY2026 TSS],MATCH(A177,Data[Label],0))</f>
        <v>1037.08</v>
      </c>
      <c r="D177" s="91">
        <f>INDEX(Data[FY2026 PD],MATCH(A177,Data[Label],0))</f>
        <v>74.760000000000005</v>
      </c>
      <c r="E177" s="91">
        <f>INDEX(Data[FY2026 Early Intervention],MATCH(A177,Data[Label],0))</f>
        <v>81.63</v>
      </c>
      <c r="F177" s="91">
        <f>INDEX(Data[FY2026 TLC],MATCH(A177,Data[Label],0))</f>
        <v>385.29</v>
      </c>
      <c r="G177" s="182">
        <f t="shared" si="165"/>
        <v>643508</v>
      </c>
      <c r="H177" s="182">
        <f t="shared" si="166"/>
        <v>46389</v>
      </c>
      <c r="I177" s="182">
        <f t="shared" si="167"/>
        <v>50651</v>
      </c>
      <c r="J177" s="182">
        <f t="shared" si="168"/>
        <v>239072</v>
      </c>
      <c r="K177" s="182">
        <f>INDEX(Data[FY2026 TSS Budget Guarantee],MATCH(A177,Data[Label],0))+INDEX(Data[FY2026 PD Budget Guarantee],MATCH(A177,Data[Label],0))+INDEX(Data[FY2026 Early Intervention Budget Guarantee],MATCH(A177,Data[Label],0))+INDEX(Data[FY2026 TLC Budget Gurantee],MATCH(A177,Data[Label],0))</f>
        <v>6192</v>
      </c>
      <c r="L177" s="182">
        <f t="shared" si="169"/>
        <v>985812</v>
      </c>
      <c r="M177" s="181">
        <f>INDEX(Data[FY2027 Budget Enrollment],MATCH(A177,Data[Label],0))+INDEX(Data[FY2027 ESAs],MATCH(A177,Data[Label],0))</f>
        <v>622.1</v>
      </c>
      <c r="N177" s="91">
        <f t="shared" si="170"/>
        <v>1050.77</v>
      </c>
      <c r="O177" s="91">
        <f t="shared" si="171"/>
        <v>76.31</v>
      </c>
      <c r="P177" s="91">
        <f t="shared" si="172"/>
        <v>83.32</v>
      </c>
      <c r="Q177" s="91">
        <f t="shared" si="173"/>
        <v>393</v>
      </c>
      <c r="R177" s="182">
        <f t="shared" si="181"/>
        <v>653684</v>
      </c>
      <c r="S177" s="182">
        <f t="shared" si="182"/>
        <v>47472</v>
      </c>
      <c r="T177" s="182">
        <f t="shared" si="183"/>
        <v>51833</v>
      </c>
      <c r="U177" s="182">
        <f t="shared" ref="U177" si="221">ROUND($M177*Q177,)</f>
        <v>244485</v>
      </c>
      <c r="V177" s="182">
        <f t="shared" si="175"/>
        <v>0</v>
      </c>
      <c r="W177" s="182">
        <f t="shared" si="176"/>
        <v>997474</v>
      </c>
      <c r="X177" s="182">
        <f t="shared" si="177"/>
        <v>11662</v>
      </c>
      <c r="Y177" s="183">
        <f t="shared" si="178"/>
        <v>1.1829841795393037E-2</v>
      </c>
      <c r="Z177" s="184">
        <f t="shared" si="179"/>
        <v>1.6000000000000227</v>
      </c>
      <c r="AA177" s="185">
        <f t="shared" si="180"/>
        <v>2.5785656728445168E-3</v>
      </c>
    </row>
    <row r="178" spans="1:27" x14ac:dyDescent="0.55000000000000004">
      <c r="A178" s="230" t="s">
        <v>171</v>
      </c>
      <c r="B178" s="176">
        <f>INDEX(Data[FY2026 Budget Enrollment],MATCH(A178,Data[Label],0))+INDEX(Data[FY2026 ESA],MATCH(A178,Data[Label],0))</f>
        <v>708.3</v>
      </c>
      <c r="C178" s="218">
        <f>INDEX(Data[FY2026 TSS],MATCH(A178,Data[Label],0))</f>
        <v>1098.76</v>
      </c>
      <c r="D178" s="218">
        <f>INDEX(Data[FY2026 PD],MATCH(A178,Data[Label],0))</f>
        <v>78.27</v>
      </c>
      <c r="E178" s="218">
        <f>INDEX(Data[FY2026 Early Intervention],MATCH(A178,Data[Label],0))</f>
        <v>66.37</v>
      </c>
      <c r="F178" s="218">
        <f>INDEX(Data[FY2026 TLC],MATCH(A178,Data[Label],0))</f>
        <v>385.29</v>
      </c>
      <c r="G178" s="177">
        <f t="shared" si="165"/>
        <v>778252</v>
      </c>
      <c r="H178" s="177">
        <f t="shared" si="166"/>
        <v>55439</v>
      </c>
      <c r="I178" s="177">
        <f t="shared" si="167"/>
        <v>47010</v>
      </c>
      <c r="J178" s="177">
        <f t="shared" si="168"/>
        <v>272901</v>
      </c>
      <c r="K178" s="177">
        <f>INDEX(Data[FY2026 TSS Budget Guarantee],MATCH(A178,Data[Label],0))+INDEX(Data[FY2026 PD Budget Guarantee],MATCH(A178,Data[Label],0))+INDEX(Data[FY2026 Early Intervention Budget Guarantee],MATCH(A178,Data[Label],0))+INDEX(Data[FY2026 TLC Budget Gurantee],MATCH(A178,Data[Label],0))</f>
        <v>0</v>
      </c>
      <c r="L178" s="177">
        <f t="shared" si="169"/>
        <v>1153602</v>
      </c>
      <c r="M178" s="176">
        <f>INDEX(Data[FY2027 Budget Enrollment],MATCH(A178,Data[Label],0))+INDEX(Data[FY2027 ESAs],MATCH(A178,Data[Label],0))</f>
        <v>720.3</v>
      </c>
      <c r="N178" s="218">
        <f t="shared" si="170"/>
        <v>1112.45</v>
      </c>
      <c r="O178" s="218">
        <f t="shared" si="171"/>
        <v>79.819999999999993</v>
      </c>
      <c r="P178" s="218">
        <f t="shared" si="172"/>
        <v>68.06</v>
      </c>
      <c r="Q178" s="218">
        <f t="shared" si="173"/>
        <v>393</v>
      </c>
      <c r="R178" s="177">
        <f t="shared" si="181"/>
        <v>801298</v>
      </c>
      <c r="S178" s="177">
        <f t="shared" si="182"/>
        <v>57494</v>
      </c>
      <c r="T178" s="177">
        <f t="shared" si="183"/>
        <v>49024</v>
      </c>
      <c r="U178" s="177">
        <f t="shared" ref="U178" si="222">ROUND($M178*Q178,0)</f>
        <v>283078</v>
      </c>
      <c r="V178" s="177">
        <f t="shared" si="175"/>
        <v>0</v>
      </c>
      <c r="W178" s="177">
        <f t="shared" si="176"/>
        <v>1190894</v>
      </c>
      <c r="X178" s="177">
        <f t="shared" si="177"/>
        <v>37292</v>
      </c>
      <c r="Y178" s="178">
        <f t="shared" si="178"/>
        <v>3.2326573636314776E-2</v>
      </c>
      <c r="Z178" s="179">
        <f t="shared" si="179"/>
        <v>12</v>
      </c>
      <c r="AA178" s="180">
        <f t="shared" si="180"/>
        <v>1.6941973739940705E-2</v>
      </c>
    </row>
    <row r="179" spans="1:27" x14ac:dyDescent="0.55000000000000004">
      <c r="A179" s="229" t="s">
        <v>172</v>
      </c>
      <c r="B179" s="181">
        <f>INDEX(Data[FY2026 Budget Enrollment],MATCH(A179,Data[Label],0))+INDEX(Data[FY2026 ESA],MATCH(A179,Data[Label],0))</f>
        <v>583.29999999999995</v>
      </c>
      <c r="C179" s="91">
        <f>INDEX(Data[FY2026 TSS],MATCH(A179,Data[Label],0))</f>
        <v>1092.6099999999999</v>
      </c>
      <c r="D179" s="91">
        <f>INDEX(Data[FY2026 PD],MATCH(A179,Data[Label],0))</f>
        <v>73.78</v>
      </c>
      <c r="E179" s="91">
        <f>INDEX(Data[FY2026 Early Intervention],MATCH(A179,Data[Label],0))</f>
        <v>71.81</v>
      </c>
      <c r="F179" s="91">
        <f>INDEX(Data[FY2026 TLC],MATCH(A179,Data[Label],0))</f>
        <v>385.29</v>
      </c>
      <c r="G179" s="182">
        <f t="shared" si="165"/>
        <v>637319</v>
      </c>
      <c r="H179" s="182">
        <f t="shared" si="166"/>
        <v>43036</v>
      </c>
      <c r="I179" s="182">
        <f t="shared" si="167"/>
        <v>41887</v>
      </c>
      <c r="J179" s="182">
        <f t="shared" si="168"/>
        <v>224740</v>
      </c>
      <c r="K179" s="182">
        <f>INDEX(Data[FY2026 TSS Budget Guarantee],MATCH(A179,Data[Label],0))+INDEX(Data[FY2026 PD Budget Guarantee],MATCH(A179,Data[Label],0))+INDEX(Data[FY2026 Early Intervention Budget Guarantee],MATCH(A179,Data[Label],0))+INDEX(Data[FY2026 TLC Budget Gurantee],MATCH(A179,Data[Label],0))</f>
        <v>0</v>
      </c>
      <c r="L179" s="182">
        <f t="shared" si="169"/>
        <v>946982</v>
      </c>
      <c r="M179" s="181">
        <f>INDEX(Data[FY2027 Budget Enrollment],MATCH(A179,Data[Label],0))+INDEX(Data[FY2027 ESAs],MATCH(A179,Data[Label],0))</f>
        <v>568.5</v>
      </c>
      <c r="N179" s="91">
        <f t="shared" si="170"/>
        <v>1106.3</v>
      </c>
      <c r="O179" s="91">
        <f t="shared" si="171"/>
        <v>75.33</v>
      </c>
      <c r="P179" s="91">
        <f t="shared" si="172"/>
        <v>73.5</v>
      </c>
      <c r="Q179" s="91">
        <f t="shared" si="173"/>
        <v>393</v>
      </c>
      <c r="R179" s="182">
        <f t="shared" si="181"/>
        <v>628932</v>
      </c>
      <c r="S179" s="182">
        <f t="shared" si="182"/>
        <v>42825</v>
      </c>
      <c r="T179" s="182">
        <f t="shared" si="183"/>
        <v>41785</v>
      </c>
      <c r="U179" s="182">
        <f t="shared" ref="U179" si="223">ROUND($M179*Q179,)</f>
        <v>223421</v>
      </c>
      <c r="V179" s="182">
        <f t="shared" si="175"/>
        <v>10019</v>
      </c>
      <c r="W179" s="182">
        <f t="shared" si="176"/>
        <v>946982</v>
      </c>
      <c r="X179" s="182">
        <f t="shared" si="177"/>
        <v>0</v>
      </c>
      <c r="Y179" s="183">
        <f t="shared" si="178"/>
        <v>0</v>
      </c>
      <c r="Z179" s="184">
        <f t="shared" si="179"/>
        <v>-14.799999999999955</v>
      </c>
      <c r="AA179" s="185">
        <f t="shared" si="180"/>
        <v>-2.5372878450197079E-2</v>
      </c>
    </row>
    <row r="180" spans="1:27" x14ac:dyDescent="0.55000000000000004">
      <c r="A180" s="230" t="s">
        <v>173</v>
      </c>
      <c r="B180" s="176">
        <f>INDEX(Data[FY2026 Budget Enrollment],MATCH(A180,Data[Label],0))+INDEX(Data[FY2026 ESA],MATCH(A180,Data[Label],0))</f>
        <v>1314.3</v>
      </c>
      <c r="C180" s="218">
        <f>INDEX(Data[FY2026 TSS],MATCH(A180,Data[Label],0))</f>
        <v>1111.48</v>
      </c>
      <c r="D180" s="218">
        <f>INDEX(Data[FY2026 PD],MATCH(A180,Data[Label],0))</f>
        <v>83.28</v>
      </c>
      <c r="E180" s="218">
        <f>INDEX(Data[FY2026 Early Intervention],MATCH(A180,Data[Label],0))</f>
        <v>86.25</v>
      </c>
      <c r="F180" s="218">
        <f>INDEX(Data[FY2026 TLC],MATCH(A180,Data[Label],0))</f>
        <v>385.29</v>
      </c>
      <c r="G180" s="177">
        <f t="shared" si="165"/>
        <v>1460818</v>
      </c>
      <c r="H180" s="177">
        <f t="shared" si="166"/>
        <v>109455</v>
      </c>
      <c r="I180" s="177">
        <f t="shared" si="167"/>
        <v>113358</v>
      </c>
      <c r="J180" s="177">
        <f t="shared" si="168"/>
        <v>506387</v>
      </c>
      <c r="K180" s="177">
        <f>INDEX(Data[FY2026 TSS Budget Guarantee],MATCH(A180,Data[Label],0))+INDEX(Data[FY2026 PD Budget Guarantee],MATCH(A180,Data[Label],0))+INDEX(Data[FY2026 Early Intervention Budget Guarantee],MATCH(A180,Data[Label],0))+INDEX(Data[FY2026 TLC Budget Gurantee],MATCH(A180,Data[Label],0))</f>
        <v>0</v>
      </c>
      <c r="L180" s="177">
        <f t="shared" si="169"/>
        <v>2190018</v>
      </c>
      <c r="M180" s="176">
        <f>INDEX(Data[FY2027 Budget Enrollment],MATCH(A180,Data[Label],0))+INDEX(Data[FY2027 ESAs],MATCH(A180,Data[Label],0))</f>
        <v>1284.5999999999999</v>
      </c>
      <c r="N180" s="218">
        <f t="shared" si="170"/>
        <v>1125.17</v>
      </c>
      <c r="O180" s="218">
        <f t="shared" si="171"/>
        <v>84.83</v>
      </c>
      <c r="P180" s="218">
        <f t="shared" si="172"/>
        <v>87.94</v>
      </c>
      <c r="Q180" s="218">
        <f t="shared" si="173"/>
        <v>393</v>
      </c>
      <c r="R180" s="177">
        <f t="shared" si="181"/>
        <v>1445393</v>
      </c>
      <c r="S180" s="177">
        <f t="shared" si="182"/>
        <v>108973</v>
      </c>
      <c r="T180" s="177">
        <f t="shared" si="183"/>
        <v>112968</v>
      </c>
      <c r="U180" s="177">
        <f t="shared" ref="U180" si="224">ROUND($M180*Q180,0)</f>
        <v>504848</v>
      </c>
      <c r="V180" s="177">
        <f t="shared" si="175"/>
        <v>17836</v>
      </c>
      <c r="W180" s="177">
        <f t="shared" si="176"/>
        <v>2190018</v>
      </c>
      <c r="X180" s="177">
        <f t="shared" si="177"/>
        <v>0</v>
      </c>
      <c r="Y180" s="178">
        <f t="shared" si="178"/>
        <v>0</v>
      </c>
      <c r="Z180" s="179">
        <f t="shared" si="179"/>
        <v>-29.700000000000045</v>
      </c>
      <c r="AA180" s="180">
        <f t="shared" si="180"/>
        <v>-2.2597580461081981E-2</v>
      </c>
    </row>
    <row r="181" spans="1:27" x14ac:dyDescent="0.55000000000000004">
      <c r="A181" s="229" t="s">
        <v>174</v>
      </c>
      <c r="B181" s="181">
        <f>INDEX(Data[FY2026 Budget Enrollment],MATCH(A181,Data[Label],0))+INDEX(Data[FY2026 ESA],MATCH(A181,Data[Label],0))</f>
        <v>708.9</v>
      </c>
      <c r="C181" s="91">
        <f>INDEX(Data[FY2026 TSS],MATCH(A181,Data[Label],0))</f>
        <v>1105.9000000000001</v>
      </c>
      <c r="D181" s="91">
        <f>INDEX(Data[FY2026 PD],MATCH(A181,Data[Label],0))</f>
        <v>77.2</v>
      </c>
      <c r="E181" s="91">
        <f>INDEX(Data[FY2026 Early Intervention],MATCH(A181,Data[Label],0))</f>
        <v>76.569999999999993</v>
      </c>
      <c r="F181" s="91">
        <f>INDEX(Data[FY2026 TLC],MATCH(A181,Data[Label],0))</f>
        <v>385.29</v>
      </c>
      <c r="G181" s="182">
        <f t="shared" si="165"/>
        <v>783973</v>
      </c>
      <c r="H181" s="182">
        <f t="shared" si="166"/>
        <v>54727</v>
      </c>
      <c r="I181" s="182">
        <f t="shared" si="167"/>
        <v>54280</v>
      </c>
      <c r="J181" s="182">
        <f t="shared" si="168"/>
        <v>273132</v>
      </c>
      <c r="K181" s="182">
        <f>INDEX(Data[FY2026 TSS Budget Guarantee],MATCH(A181,Data[Label],0))+INDEX(Data[FY2026 PD Budget Guarantee],MATCH(A181,Data[Label],0))+INDEX(Data[FY2026 Early Intervention Budget Guarantee],MATCH(A181,Data[Label],0))+INDEX(Data[FY2026 TLC Budget Gurantee],MATCH(A181,Data[Label],0))</f>
        <v>0</v>
      </c>
      <c r="L181" s="182">
        <f t="shared" si="169"/>
        <v>1166112</v>
      </c>
      <c r="M181" s="181">
        <f>INDEX(Data[FY2027 Budget Enrollment],MATCH(A181,Data[Label],0))+INDEX(Data[FY2027 ESAs],MATCH(A181,Data[Label],0))</f>
        <v>717</v>
      </c>
      <c r="N181" s="91">
        <f t="shared" si="170"/>
        <v>1119.5900000000001</v>
      </c>
      <c r="O181" s="91">
        <f t="shared" si="171"/>
        <v>78.75</v>
      </c>
      <c r="P181" s="91">
        <f t="shared" si="172"/>
        <v>78.259999999999991</v>
      </c>
      <c r="Q181" s="91">
        <f t="shared" si="173"/>
        <v>393</v>
      </c>
      <c r="R181" s="182">
        <f t="shared" si="181"/>
        <v>802746</v>
      </c>
      <c r="S181" s="182">
        <f t="shared" si="182"/>
        <v>56464</v>
      </c>
      <c r="T181" s="182">
        <f t="shared" si="183"/>
        <v>56112</v>
      </c>
      <c r="U181" s="182">
        <f t="shared" ref="U181" si="225">ROUND($M181*Q181,)</f>
        <v>281781</v>
      </c>
      <c r="V181" s="182">
        <f t="shared" si="175"/>
        <v>0</v>
      </c>
      <c r="W181" s="182">
        <f t="shared" si="176"/>
        <v>1197103</v>
      </c>
      <c r="X181" s="182">
        <f t="shared" si="177"/>
        <v>30991</v>
      </c>
      <c r="Y181" s="183">
        <f t="shared" si="178"/>
        <v>2.6576349441563073E-2</v>
      </c>
      <c r="Z181" s="184">
        <f t="shared" si="179"/>
        <v>8.1000000000000227</v>
      </c>
      <c r="AA181" s="185">
        <f t="shared" si="180"/>
        <v>1.1426153195091018E-2</v>
      </c>
    </row>
    <row r="182" spans="1:27" x14ac:dyDescent="0.55000000000000004">
      <c r="A182" s="230" t="s">
        <v>175</v>
      </c>
      <c r="B182" s="176">
        <f>INDEX(Data[FY2026 Budget Enrollment],MATCH(A182,Data[Label],0))+INDEX(Data[FY2026 ESA],MATCH(A182,Data[Label],0))</f>
        <v>455.8</v>
      </c>
      <c r="C182" s="218">
        <f>INDEX(Data[FY2026 TSS],MATCH(A182,Data[Label],0))</f>
        <v>1465.72</v>
      </c>
      <c r="D182" s="218">
        <f>INDEX(Data[FY2026 PD],MATCH(A182,Data[Label],0))</f>
        <v>77.23</v>
      </c>
      <c r="E182" s="218">
        <f>INDEX(Data[FY2026 Early Intervention],MATCH(A182,Data[Label],0))</f>
        <v>63.38</v>
      </c>
      <c r="F182" s="218">
        <f>INDEX(Data[FY2026 TLC],MATCH(A182,Data[Label],0))</f>
        <v>385.29</v>
      </c>
      <c r="G182" s="177">
        <f t="shared" si="165"/>
        <v>668075</v>
      </c>
      <c r="H182" s="177">
        <f t="shared" si="166"/>
        <v>35201</v>
      </c>
      <c r="I182" s="177">
        <f t="shared" si="167"/>
        <v>28889</v>
      </c>
      <c r="J182" s="177">
        <f t="shared" si="168"/>
        <v>175615</v>
      </c>
      <c r="K182" s="177">
        <f>INDEX(Data[FY2026 TSS Budget Guarantee],MATCH(A182,Data[Label],0))+INDEX(Data[FY2026 PD Budget Guarantee],MATCH(A182,Data[Label],0))+INDEX(Data[FY2026 Early Intervention Budget Guarantee],MATCH(A182,Data[Label],0))+INDEX(Data[FY2026 TLC Budget Gurantee],MATCH(A182,Data[Label],0))</f>
        <v>3610</v>
      </c>
      <c r="L182" s="177">
        <f t="shared" si="169"/>
        <v>911390</v>
      </c>
      <c r="M182" s="176">
        <f>INDEX(Data[FY2027 Budget Enrollment],MATCH(A182,Data[Label],0))+INDEX(Data[FY2027 ESAs],MATCH(A182,Data[Label],0))</f>
        <v>461.3</v>
      </c>
      <c r="N182" s="218">
        <f t="shared" si="170"/>
        <v>1479.41</v>
      </c>
      <c r="O182" s="218">
        <f t="shared" si="171"/>
        <v>78.78</v>
      </c>
      <c r="P182" s="218">
        <f t="shared" si="172"/>
        <v>65.070000000000007</v>
      </c>
      <c r="Q182" s="218">
        <f t="shared" si="173"/>
        <v>393</v>
      </c>
      <c r="R182" s="177">
        <f t="shared" si="181"/>
        <v>682452</v>
      </c>
      <c r="S182" s="177">
        <f t="shared" si="182"/>
        <v>36341</v>
      </c>
      <c r="T182" s="177">
        <f t="shared" si="183"/>
        <v>30017</v>
      </c>
      <c r="U182" s="177">
        <f t="shared" ref="U182" si="226">ROUND($M182*Q182,0)</f>
        <v>181291</v>
      </c>
      <c r="V182" s="177">
        <f t="shared" si="175"/>
        <v>0</v>
      </c>
      <c r="W182" s="177">
        <f t="shared" si="176"/>
        <v>930101</v>
      </c>
      <c r="X182" s="177">
        <f t="shared" si="177"/>
        <v>18711</v>
      </c>
      <c r="Y182" s="178">
        <f t="shared" si="178"/>
        <v>2.0530179176861715E-2</v>
      </c>
      <c r="Z182" s="179">
        <f t="shared" si="179"/>
        <v>5.5</v>
      </c>
      <c r="AA182" s="180">
        <f t="shared" si="180"/>
        <v>1.2066695919262835E-2</v>
      </c>
    </row>
    <row r="183" spans="1:27" x14ac:dyDescent="0.55000000000000004">
      <c r="A183" s="229" t="s">
        <v>176</v>
      </c>
      <c r="B183" s="181">
        <f>INDEX(Data[FY2026 Budget Enrollment],MATCH(A183,Data[Label],0))+INDEX(Data[FY2026 ESA],MATCH(A183,Data[Label],0))</f>
        <v>1788.9</v>
      </c>
      <c r="C183" s="91">
        <f>INDEX(Data[FY2026 TSS],MATCH(A183,Data[Label],0))</f>
        <v>901.72</v>
      </c>
      <c r="D183" s="91">
        <f>INDEX(Data[FY2026 PD],MATCH(A183,Data[Label],0))</f>
        <v>83.93</v>
      </c>
      <c r="E183" s="91">
        <f>INDEX(Data[FY2026 Early Intervention],MATCH(A183,Data[Label],0))</f>
        <v>86.33</v>
      </c>
      <c r="F183" s="91">
        <f>INDEX(Data[FY2026 TLC],MATCH(A183,Data[Label],0))</f>
        <v>385.29</v>
      </c>
      <c r="G183" s="182">
        <f t="shared" si="165"/>
        <v>1613087</v>
      </c>
      <c r="H183" s="182">
        <f t="shared" si="166"/>
        <v>150142</v>
      </c>
      <c r="I183" s="182">
        <f t="shared" si="167"/>
        <v>154436</v>
      </c>
      <c r="J183" s="182">
        <f t="shared" si="168"/>
        <v>689245</v>
      </c>
      <c r="K183" s="182">
        <f>INDEX(Data[FY2026 TSS Budget Guarantee],MATCH(A183,Data[Label],0))+INDEX(Data[FY2026 PD Budget Guarantee],MATCH(A183,Data[Label],0))+INDEX(Data[FY2026 Early Intervention Budget Guarantee],MATCH(A183,Data[Label],0))+INDEX(Data[FY2026 TLC Budget Gurantee],MATCH(A183,Data[Label],0))</f>
        <v>0</v>
      </c>
      <c r="L183" s="182">
        <f t="shared" si="169"/>
        <v>2606910</v>
      </c>
      <c r="M183" s="181">
        <f>INDEX(Data[FY2027 Budget Enrollment],MATCH(A183,Data[Label],0))+INDEX(Data[FY2027 ESAs],MATCH(A183,Data[Label],0))</f>
        <v>1809.6</v>
      </c>
      <c r="N183" s="91">
        <f t="shared" si="170"/>
        <v>915.41000000000008</v>
      </c>
      <c r="O183" s="91">
        <f t="shared" si="171"/>
        <v>85.48</v>
      </c>
      <c r="P183" s="91">
        <f t="shared" si="172"/>
        <v>88.02</v>
      </c>
      <c r="Q183" s="91">
        <f t="shared" si="173"/>
        <v>393</v>
      </c>
      <c r="R183" s="182">
        <f t="shared" si="181"/>
        <v>1656526</v>
      </c>
      <c r="S183" s="182">
        <f t="shared" si="182"/>
        <v>154685</v>
      </c>
      <c r="T183" s="182">
        <f t="shared" si="183"/>
        <v>159281</v>
      </c>
      <c r="U183" s="182">
        <f t="shared" ref="U183" si="227">ROUND($M183*Q183,)</f>
        <v>711173</v>
      </c>
      <c r="V183" s="182">
        <f t="shared" si="175"/>
        <v>0</v>
      </c>
      <c r="W183" s="182">
        <f t="shared" si="176"/>
        <v>2681665</v>
      </c>
      <c r="X183" s="182">
        <f t="shared" si="177"/>
        <v>74755</v>
      </c>
      <c r="Y183" s="183">
        <f t="shared" si="178"/>
        <v>2.8675711858100202E-2</v>
      </c>
      <c r="Z183" s="184">
        <f t="shared" si="179"/>
        <v>20.699999999999818</v>
      </c>
      <c r="AA183" s="185">
        <f t="shared" si="180"/>
        <v>1.1571356699647727E-2</v>
      </c>
    </row>
    <row r="184" spans="1:27" x14ac:dyDescent="0.55000000000000004">
      <c r="A184" s="230" t="s">
        <v>177</v>
      </c>
      <c r="B184" s="176">
        <f>INDEX(Data[FY2026 Budget Enrollment],MATCH(A184,Data[Label],0))+INDEX(Data[FY2026 ESA],MATCH(A184,Data[Label],0))</f>
        <v>5645.3</v>
      </c>
      <c r="C184" s="218">
        <f>INDEX(Data[FY2026 TSS],MATCH(A184,Data[Label],0))</f>
        <v>730.37</v>
      </c>
      <c r="D184" s="218">
        <f>INDEX(Data[FY2026 PD],MATCH(A184,Data[Label],0))</f>
        <v>74.72</v>
      </c>
      <c r="E184" s="218">
        <f>INDEX(Data[FY2026 Early Intervention],MATCH(A184,Data[Label],0))</f>
        <v>100.05</v>
      </c>
      <c r="F184" s="218">
        <f>INDEX(Data[FY2026 TLC],MATCH(A184,Data[Label],0))</f>
        <v>385.29</v>
      </c>
      <c r="G184" s="177">
        <f t="shared" si="165"/>
        <v>4123158</v>
      </c>
      <c r="H184" s="177">
        <f t="shared" si="166"/>
        <v>421817</v>
      </c>
      <c r="I184" s="177">
        <f t="shared" si="167"/>
        <v>564812</v>
      </c>
      <c r="J184" s="177">
        <f t="shared" si="168"/>
        <v>2175078</v>
      </c>
      <c r="K184" s="177">
        <f>INDEX(Data[FY2026 TSS Budget Guarantee],MATCH(A184,Data[Label],0))+INDEX(Data[FY2026 PD Budget Guarantee],MATCH(A184,Data[Label],0))+INDEX(Data[FY2026 Early Intervention Budget Guarantee],MATCH(A184,Data[Label],0))+INDEX(Data[FY2026 TLC Budget Gurantee],MATCH(A184,Data[Label],0))</f>
        <v>0</v>
      </c>
      <c r="L184" s="177">
        <f t="shared" si="169"/>
        <v>7284865</v>
      </c>
      <c r="M184" s="176">
        <f>INDEX(Data[FY2027 Budget Enrollment],MATCH(A184,Data[Label],0))+INDEX(Data[FY2027 ESAs],MATCH(A184,Data[Label],0))</f>
        <v>5608.2</v>
      </c>
      <c r="N184" s="218">
        <f t="shared" si="170"/>
        <v>744.06000000000006</v>
      </c>
      <c r="O184" s="218">
        <f t="shared" si="171"/>
        <v>76.27</v>
      </c>
      <c r="P184" s="218">
        <f t="shared" si="172"/>
        <v>101.74</v>
      </c>
      <c r="Q184" s="218">
        <f t="shared" si="173"/>
        <v>393</v>
      </c>
      <c r="R184" s="177">
        <f t="shared" si="181"/>
        <v>4172837</v>
      </c>
      <c r="S184" s="177">
        <f t="shared" si="182"/>
        <v>427737</v>
      </c>
      <c r="T184" s="177">
        <f t="shared" si="183"/>
        <v>570578</v>
      </c>
      <c r="U184" s="177">
        <f t="shared" ref="U184" si="228">ROUND($M184*Q184,0)</f>
        <v>2204023</v>
      </c>
      <c r="V184" s="177">
        <f t="shared" si="175"/>
        <v>0</v>
      </c>
      <c r="W184" s="177">
        <f t="shared" si="176"/>
        <v>7375175</v>
      </c>
      <c r="X184" s="177">
        <f t="shared" si="177"/>
        <v>90310</v>
      </c>
      <c r="Y184" s="178">
        <f t="shared" si="178"/>
        <v>1.2396935289809763E-2</v>
      </c>
      <c r="Z184" s="179">
        <f t="shared" si="179"/>
        <v>-37.100000000000364</v>
      </c>
      <c r="AA184" s="180">
        <f t="shared" si="180"/>
        <v>-6.571838520539274E-3</v>
      </c>
    </row>
    <row r="185" spans="1:27" x14ac:dyDescent="0.55000000000000004">
      <c r="A185" s="229" t="s">
        <v>178</v>
      </c>
      <c r="B185" s="181">
        <f>INDEX(Data[FY2026 Budget Enrollment],MATCH(A185,Data[Label],0))+INDEX(Data[FY2026 ESA],MATCH(A185,Data[Label],0))</f>
        <v>483</v>
      </c>
      <c r="C185" s="91">
        <f>INDEX(Data[FY2026 TSS],MATCH(A185,Data[Label],0))</f>
        <v>1249.8900000000001</v>
      </c>
      <c r="D185" s="91">
        <f>INDEX(Data[FY2026 PD],MATCH(A185,Data[Label],0))</f>
        <v>67.27</v>
      </c>
      <c r="E185" s="91">
        <f>INDEX(Data[FY2026 Early Intervention],MATCH(A185,Data[Label],0))</f>
        <v>75.8</v>
      </c>
      <c r="F185" s="91">
        <f>INDEX(Data[FY2026 TLC],MATCH(A185,Data[Label],0))</f>
        <v>385.29</v>
      </c>
      <c r="G185" s="182">
        <f t="shared" si="165"/>
        <v>603697</v>
      </c>
      <c r="H185" s="182">
        <f t="shared" si="166"/>
        <v>32491</v>
      </c>
      <c r="I185" s="182">
        <f t="shared" si="167"/>
        <v>36611</v>
      </c>
      <c r="J185" s="182">
        <f t="shared" si="168"/>
        <v>186095</v>
      </c>
      <c r="K185" s="182">
        <f>INDEX(Data[FY2026 TSS Budget Guarantee],MATCH(A185,Data[Label],0))+INDEX(Data[FY2026 PD Budget Guarantee],MATCH(A185,Data[Label],0))+INDEX(Data[FY2026 Early Intervention Budget Guarantee],MATCH(A185,Data[Label],0))+INDEX(Data[FY2026 TLC Budget Gurantee],MATCH(A185,Data[Label],0))</f>
        <v>0</v>
      </c>
      <c r="L185" s="182">
        <f t="shared" si="169"/>
        <v>858894</v>
      </c>
      <c r="M185" s="181">
        <f>INDEX(Data[FY2027 Budget Enrollment],MATCH(A185,Data[Label],0))+INDEX(Data[FY2027 ESAs],MATCH(A185,Data[Label],0))</f>
        <v>507.8</v>
      </c>
      <c r="N185" s="91">
        <f t="shared" si="170"/>
        <v>1263.5800000000002</v>
      </c>
      <c r="O185" s="91">
        <f t="shared" si="171"/>
        <v>68.819999999999993</v>
      </c>
      <c r="P185" s="91">
        <f t="shared" si="172"/>
        <v>77.489999999999995</v>
      </c>
      <c r="Q185" s="91">
        <f t="shared" si="173"/>
        <v>393</v>
      </c>
      <c r="R185" s="182">
        <f t="shared" si="181"/>
        <v>641646</v>
      </c>
      <c r="S185" s="182">
        <f t="shared" si="182"/>
        <v>34947</v>
      </c>
      <c r="T185" s="182">
        <f t="shared" si="183"/>
        <v>39349</v>
      </c>
      <c r="U185" s="182">
        <f t="shared" ref="U185" si="229">ROUND($M185*Q185,)</f>
        <v>199565</v>
      </c>
      <c r="V185" s="182">
        <f t="shared" si="175"/>
        <v>0</v>
      </c>
      <c r="W185" s="182">
        <f t="shared" si="176"/>
        <v>915507</v>
      </c>
      <c r="X185" s="182">
        <f t="shared" si="177"/>
        <v>56613</v>
      </c>
      <c r="Y185" s="183">
        <f t="shared" si="178"/>
        <v>6.5913838028906949E-2</v>
      </c>
      <c r="Z185" s="184">
        <f t="shared" si="179"/>
        <v>24.800000000000011</v>
      </c>
      <c r="AA185" s="185">
        <f t="shared" si="180"/>
        <v>5.1345755693581803E-2</v>
      </c>
    </row>
    <row r="186" spans="1:27" x14ac:dyDescent="0.55000000000000004">
      <c r="A186" s="230" t="s">
        <v>179</v>
      </c>
      <c r="B186" s="176">
        <f>INDEX(Data[FY2026 Budget Enrollment],MATCH(A186,Data[Label],0))+INDEX(Data[FY2026 ESA],MATCH(A186,Data[Label],0))</f>
        <v>3699.2</v>
      </c>
      <c r="C186" s="218">
        <f>INDEX(Data[FY2026 TSS],MATCH(A186,Data[Label],0))</f>
        <v>743.77</v>
      </c>
      <c r="D186" s="218">
        <f>INDEX(Data[FY2026 PD],MATCH(A186,Data[Label],0))</f>
        <v>79.17</v>
      </c>
      <c r="E186" s="218">
        <f>INDEX(Data[FY2026 Early Intervention],MATCH(A186,Data[Label],0))</f>
        <v>89.1</v>
      </c>
      <c r="F186" s="218">
        <f>INDEX(Data[FY2026 TLC],MATCH(A186,Data[Label],0))</f>
        <v>385.29</v>
      </c>
      <c r="G186" s="177">
        <f t="shared" si="165"/>
        <v>2751354</v>
      </c>
      <c r="H186" s="177">
        <f t="shared" si="166"/>
        <v>292866</v>
      </c>
      <c r="I186" s="177">
        <f t="shared" si="167"/>
        <v>329599</v>
      </c>
      <c r="J186" s="177">
        <f t="shared" si="168"/>
        <v>1425265</v>
      </c>
      <c r="K186" s="177">
        <f>INDEX(Data[FY2026 TSS Budget Guarantee],MATCH(A186,Data[Label],0))+INDEX(Data[FY2026 PD Budget Guarantee],MATCH(A186,Data[Label],0))+INDEX(Data[FY2026 Early Intervention Budget Guarantee],MATCH(A186,Data[Label],0))+INDEX(Data[FY2026 TLC Budget Gurantee],MATCH(A186,Data[Label],0))</f>
        <v>0</v>
      </c>
      <c r="L186" s="177">
        <f t="shared" si="169"/>
        <v>4799084</v>
      </c>
      <c r="M186" s="176">
        <f>INDEX(Data[FY2027 Budget Enrollment],MATCH(A186,Data[Label],0))+INDEX(Data[FY2027 ESAs],MATCH(A186,Data[Label],0))</f>
        <v>3870.8</v>
      </c>
      <c r="N186" s="218">
        <f t="shared" si="170"/>
        <v>757.46</v>
      </c>
      <c r="O186" s="218">
        <f t="shared" si="171"/>
        <v>80.72</v>
      </c>
      <c r="P186" s="218">
        <f t="shared" si="172"/>
        <v>90.789999999999992</v>
      </c>
      <c r="Q186" s="218">
        <f t="shared" si="173"/>
        <v>393</v>
      </c>
      <c r="R186" s="177">
        <f t="shared" si="181"/>
        <v>2931976</v>
      </c>
      <c r="S186" s="177">
        <f t="shared" si="182"/>
        <v>312451</v>
      </c>
      <c r="T186" s="177">
        <f t="shared" si="183"/>
        <v>351430</v>
      </c>
      <c r="U186" s="177">
        <f t="shared" ref="U186" si="230">ROUND($M186*Q186,0)</f>
        <v>1521224</v>
      </c>
      <c r="V186" s="177">
        <f t="shared" si="175"/>
        <v>0</v>
      </c>
      <c r="W186" s="177">
        <f t="shared" si="176"/>
        <v>5117081</v>
      </c>
      <c r="X186" s="177">
        <f t="shared" si="177"/>
        <v>317997</v>
      </c>
      <c r="Y186" s="178">
        <f t="shared" si="178"/>
        <v>6.626202000215041E-2</v>
      </c>
      <c r="Z186" s="179">
        <f t="shared" si="179"/>
        <v>171.60000000000036</v>
      </c>
      <c r="AA186" s="180">
        <f t="shared" si="180"/>
        <v>4.638840830449837E-2</v>
      </c>
    </row>
    <row r="187" spans="1:27" x14ac:dyDescent="0.55000000000000004">
      <c r="A187" s="229" t="s">
        <v>180</v>
      </c>
      <c r="B187" s="181">
        <f>INDEX(Data[FY2026 Budget Enrollment],MATCH(A187,Data[Label],0))+INDEX(Data[FY2026 ESA],MATCH(A187,Data[Label],0))</f>
        <v>877.6</v>
      </c>
      <c r="C187" s="91">
        <f>INDEX(Data[FY2026 TSS],MATCH(A187,Data[Label],0))</f>
        <v>941.56</v>
      </c>
      <c r="D187" s="91">
        <f>INDEX(Data[FY2026 PD],MATCH(A187,Data[Label],0))</f>
        <v>69.72</v>
      </c>
      <c r="E187" s="91">
        <f>INDEX(Data[FY2026 Early Intervention],MATCH(A187,Data[Label],0))</f>
        <v>74.02</v>
      </c>
      <c r="F187" s="91">
        <f>INDEX(Data[FY2026 TLC],MATCH(A187,Data[Label],0))</f>
        <v>385.29</v>
      </c>
      <c r="G187" s="182">
        <f t="shared" si="165"/>
        <v>826313</v>
      </c>
      <c r="H187" s="182">
        <f t="shared" si="166"/>
        <v>61186</v>
      </c>
      <c r="I187" s="182">
        <f t="shared" si="167"/>
        <v>64960</v>
      </c>
      <c r="J187" s="182">
        <f t="shared" si="168"/>
        <v>338131</v>
      </c>
      <c r="K187" s="182">
        <f>INDEX(Data[FY2026 TSS Budget Guarantee],MATCH(A187,Data[Label],0))+INDEX(Data[FY2026 PD Budget Guarantee],MATCH(A187,Data[Label],0))+INDEX(Data[FY2026 Early Intervention Budget Guarantee],MATCH(A187,Data[Label],0))+INDEX(Data[FY2026 TLC Budget Gurantee],MATCH(A187,Data[Label],0))</f>
        <v>0</v>
      </c>
      <c r="L187" s="182">
        <f t="shared" si="169"/>
        <v>1290590</v>
      </c>
      <c r="M187" s="181">
        <f>INDEX(Data[FY2027 Budget Enrollment],MATCH(A187,Data[Label],0))+INDEX(Data[FY2027 ESAs],MATCH(A187,Data[Label],0))</f>
        <v>866.1</v>
      </c>
      <c r="N187" s="91">
        <f t="shared" si="170"/>
        <v>955.25</v>
      </c>
      <c r="O187" s="91">
        <f t="shared" si="171"/>
        <v>71.27</v>
      </c>
      <c r="P187" s="91">
        <f t="shared" si="172"/>
        <v>75.709999999999994</v>
      </c>
      <c r="Q187" s="91">
        <f t="shared" si="173"/>
        <v>393</v>
      </c>
      <c r="R187" s="182">
        <f t="shared" si="181"/>
        <v>827342</v>
      </c>
      <c r="S187" s="182">
        <f t="shared" si="182"/>
        <v>61727</v>
      </c>
      <c r="T187" s="182">
        <f t="shared" si="183"/>
        <v>65572</v>
      </c>
      <c r="U187" s="182">
        <f t="shared" ref="U187" si="231">ROUND($M187*Q187,)</f>
        <v>340377</v>
      </c>
      <c r="V187" s="182">
        <f t="shared" si="175"/>
        <v>0</v>
      </c>
      <c r="W187" s="182">
        <f t="shared" si="176"/>
        <v>1295018</v>
      </c>
      <c r="X187" s="182">
        <f t="shared" si="177"/>
        <v>4428</v>
      </c>
      <c r="Y187" s="183">
        <f t="shared" si="178"/>
        <v>3.4309889275447665E-3</v>
      </c>
      <c r="Z187" s="184">
        <f t="shared" si="179"/>
        <v>-11.5</v>
      </c>
      <c r="AA187" s="185">
        <f t="shared" si="180"/>
        <v>-1.3103919781221513E-2</v>
      </c>
    </row>
    <row r="188" spans="1:27" x14ac:dyDescent="0.55000000000000004">
      <c r="A188" s="230" t="s">
        <v>181</v>
      </c>
      <c r="B188" s="176">
        <f>INDEX(Data[FY2026 Budget Enrollment],MATCH(A188,Data[Label],0))+INDEX(Data[FY2026 ESA],MATCH(A188,Data[Label],0))</f>
        <v>289.39999999999998</v>
      </c>
      <c r="C188" s="218">
        <f>INDEX(Data[FY2026 TSS],MATCH(A188,Data[Label],0))</f>
        <v>1568.49</v>
      </c>
      <c r="D188" s="218">
        <f>INDEX(Data[FY2026 PD],MATCH(A188,Data[Label],0))</f>
        <v>81.28</v>
      </c>
      <c r="E188" s="218">
        <f>INDEX(Data[FY2026 Early Intervention],MATCH(A188,Data[Label],0))</f>
        <v>95.57</v>
      </c>
      <c r="F188" s="218">
        <f>INDEX(Data[FY2026 TLC],MATCH(A188,Data[Label],0))</f>
        <v>385.29</v>
      </c>
      <c r="G188" s="177">
        <f t="shared" si="165"/>
        <v>453921</v>
      </c>
      <c r="H188" s="177">
        <f t="shared" si="166"/>
        <v>23522</v>
      </c>
      <c r="I188" s="177">
        <f t="shared" si="167"/>
        <v>27658</v>
      </c>
      <c r="J188" s="177">
        <f t="shared" si="168"/>
        <v>111503</v>
      </c>
      <c r="K188" s="177">
        <f>INDEX(Data[FY2026 TSS Budget Guarantee],MATCH(A188,Data[Label],0))+INDEX(Data[FY2026 PD Budget Guarantee],MATCH(A188,Data[Label],0))+INDEX(Data[FY2026 Early Intervention Budget Guarantee],MATCH(A188,Data[Label],0))+INDEX(Data[FY2026 TLC Budget Gurantee],MATCH(A188,Data[Label],0))</f>
        <v>0</v>
      </c>
      <c r="L188" s="177">
        <f t="shared" si="169"/>
        <v>616604</v>
      </c>
      <c r="M188" s="176">
        <f>INDEX(Data[FY2027 Budget Enrollment],MATCH(A188,Data[Label],0))+INDEX(Data[FY2027 ESAs],MATCH(A188,Data[Label],0))</f>
        <v>291.2</v>
      </c>
      <c r="N188" s="218">
        <f t="shared" si="170"/>
        <v>1582.18</v>
      </c>
      <c r="O188" s="218">
        <f t="shared" si="171"/>
        <v>82.83</v>
      </c>
      <c r="P188" s="218">
        <f t="shared" si="172"/>
        <v>97.259999999999991</v>
      </c>
      <c r="Q188" s="218">
        <f t="shared" si="173"/>
        <v>393</v>
      </c>
      <c r="R188" s="177">
        <f t="shared" si="181"/>
        <v>460731</v>
      </c>
      <c r="S188" s="177">
        <f t="shared" si="182"/>
        <v>24120</v>
      </c>
      <c r="T188" s="177">
        <f t="shared" si="183"/>
        <v>28322</v>
      </c>
      <c r="U188" s="177">
        <f t="shared" ref="U188" si="232">ROUND($M188*Q188,0)</f>
        <v>114442</v>
      </c>
      <c r="V188" s="177">
        <f t="shared" si="175"/>
        <v>0</v>
      </c>
      <c r="W188" s="177">
        <f t="shared" si="176"/>
        <v>627615</v>
      </c>
      <c r="X188" s="177">
        <f t="shared" si="177"/>
        <v>11011</v>
      </c>
      <c r="Y188" s="178">
        <f t="shared" si="178"/>
        <v>1.7857490382806467E-2</v>
      </c>
      <c r="Z188" s="179">
        <f t="shared" si="179"/>
        <v>1.8000000000000114</v>
      </c>
      <c r="AA188" s="180">
        <f t="shared" si="180"/>
        <v>6.2197650310988652E-3</v>
      </c>
    </row>
    <row r="189" spans="1:27" x14ac:dyDescent="0.55000000000000004">
      <c r="A189" s="229" t="s">
        <v>182</v>
      </c>
      <c r="B189" s="181">
        <f>INDEX(Data[FY2026 Budget Enrollment],MATCH(A189,Data[Label],0))+INDEX(Data[FY2026 ESA],MATCH(A189,Data[Label],0))</f>
        <v>1299.5999999999999</v>
      </c>
      <c r="C189" s="91">
        <f>INDEX(Data[FY2026 TSS],MATCH(A189,Data[Label],0))</f>
        <v>1032.51</v>
      </c>
      <c r="D189" s="91">
        <f>INDEX(Data[FY2026 PD],MATCH(A189,Data[Label],0))</f>
        <v>76.83</v>
      </c>
      <c r="E189" s="91">
        <f>INDEX(Data[FY2026 Early Intervention],MATCH(A189,Data[Label],0))</f>
        <v>79.760000000000005</v>
      </c>
      <c r="F189" s="91">
        <f>INDEX(Data[FY2026 TLC],MATCH(A189,Data[Label],0))</f>
        <v>385.29</v>
      </c>
      <c r="G189" s="182">
        <f t="shared" si="165"/>
        <v>1341850</v>
      </c>
      <c r="H189" s="182">
        <f t="shared" si="166"/>
        <v>99848</v>
      </c>
      <c r="I189" s="182">
        <f t="shared" si="167"/>
        <v>103656</v>
      </c>
      <c r="J189" s="182">
        <f t="shared" si="168"/>
        <v>500723</v>
      </c>
      <c r="K189" s="182">
        <f>INDEX(Data[FY2026 TSS Budget Guarantee],MATCH(A189,Data[Label],0))+INDEX(Data[FY2026 PD Budget Guarantee],MATCH(A189,Data[Label],0))+INDEX(Data[FY2026 Early Intervention Budget Guarantee],MATCH(A189,Data[Label],0))+INDEX(Data[FY2026 TLC Budget Gurantee],MATCH(A189,Data[Label],0))</f>
        <v>0</v>
      </c>
      <c r="L189" s="182">
        <f t="shared" si="169"/>
        <v>2046077</v>
      </c>
      <c r="M189" s="181">
        <f>INDEX(Data[FY2027 Budget Enrollment],MATCH(A189,Data[Label],0))+INDEX(Data[FY2027 ESAs],MATCH(A189,Data[Label],0))</f>
        <v>1323.1</v>
      </c>
      <c r="N189" s="91">
        <f t="shared" si="170"/>
        <v>1046.2</v>
      </c>
      <c r="O189" s="91">
        <f t="shared" si="171"/>
        <v>78.38</v>
      </c>
      <c r="P189" s="91">
        <f t="shared" si="172"/>
        <v>81.45</v>
      </c>
      <c r="Q189" s="91">
        <f t="shared" si="173"/>
        <v>393</v>
      </c>
      <c r="R189" s="182">
        <f t="shared" si="181"/>
        <v>1384227</v>
      </c>
      <c r="S189" s="182">
        <f t="shared" si="182"/>
        <v>103705</v>
      </c>
      <c r="T189" s="182">
        <f t="shared" si="183"/>
        <v>107766</v>
      </c>
      <c r="U189" s="182">
        <f t="shared" ref="U189" si="233">ROUND($M189*Q189,)</f>
        <v>519978</v>
      </c>
      <c r="V189" s="182">
        <f t="shared" si="175"/>
        <v>0</v>
      </c>
      <c r="W189" s="182">
        <f t="shared" si="176"/>
        <v>2115676</v>
      </c>
      <c r="X189" s="182">
        <f t="shared" si="177"/>
        <v>69599</v>
      </c>
      <c r="Y189" s="183">
        <f t="shared" si="178"/>
        <v>3.4015826383855544E-2</v>
      </c>
      <c r="Z189" s="184">
        <f t="shared" si="179"/>
        <v>23.5</v>
      </c>
      <c r="AA189" s="185">
        <f t="shared" si="180"/>
        <v>1.8082486919052017E-2</v>
      </c>
    </row>
    <row r="190" spans="1:27" x14ac:dyDescent="0.55000000000000004">
      <c r="A190" s="230" t="s">
        <v>183</v>
      </c>
      <c r="B190" s="176">
        <f>INDEX(Data[FY2026 Budget Enrollment],MATCH(A190,Data[Label],0))+INDEX(Data[FY2026 ESA],MATCH(A190,Data[Label],0))</f>
        <v>497.7</v>
      </c>
      <c r="C190" s="218">
        <f>INDEX(Data[FY2026 TSS],MATCH(A190,Data[Label],0))</f>
        <v>1012.28</v>
      </c>
      <c r="D190" s="218">
        <f>INDEX(Data[FY2026 PD],MATCH(A190,Data[Label],0))</f>
        <v>74.12</v>
      </c>
      <c r="E190" s="218">
        <f>INDEX(Data[FY2026 Early Intervention],MATCH(A190,Data[Label],0))</f>
        <v>78.94</v>
      </c>
      <c r="F190" s="218">
        <f>INDEX(Data[FY2026 TLC],MATCH(A190,Data[Label],0))</f>
        <v>385.29</v>
      </c>
      <c r="G190" s="177">
        <f t="shared" si="165"/>
        <v>503812</v>
      </c>
      <c r="H190" s="177">
        <f t="shared" si="166"/>
        <v>36890</v>
      </c>
      <c r="I190" s="177">
        <f t="shared" si="167"/>
        <v>39288</v>
      </c>
      <c r="J190" s="177">
        <f t="shared" si="168"/>
        <v>191759</v>
      </c>
      <c r="K190" s="177">
        <f>INDEX(Data[FY2026 TSS Budget Guarantee],MATCH(A190,Data[Label],0))+INDEX(Data[FY2026 PD Budget Guarantee],MATCH(A190,Data[Label],0))+INDEX(Data[FY2026 Early Intervention Budget Guarantee],MATCH(A190,Data[Label],0))+INDEX(Data[FY2026 TLC Budget Gurantee],MATCH(A190,Data[Label],0))</f>
        <v>0</v>
      </c>
      <c r="L190" s="177">
        <f t="shared" si="169"/>
        <v>771749</v>
      </c>
      <c r="M190" s="176">
        <f>INDEX(Data[FY2027 Budget Enrollment],MATCH(A190,Data[Label],0))+INDEX(Data[FY2027 ESAs],MATCH(A190,Data[Label],0))</f>
        <v>483.5</v>
      </c>
      <c r="N190" s="218">
        <f t="shared" si="170"/>
        <v>1025.97</v>
      </c>
      <c r="O190" s="218">
        <f t="shared" si="171"/>
        <v>75.67</v>
      </c>
      <c r="P190" s="218">
        <f t="shared" si="172"/>
        <v>80.63</v>
      </c>
      <c r="Q190" s="218">
        <f t="shared" si="173"/>
        <v>393</v>
      </c>
      <c r="R190" s="177">
        <f t="shared" si="181"/>
        <v>496056</v>
      </c>
      <c r="S190" s="177">
        <f t="shared" si="182"/>
        <v>36586</v>
      </c>
      <c r="T190" s="177">
        <f t="shared" si="183"/>
        <v>38985</v>
      </c>
      <c r="U190" s="177">
        <f t="shared" ref="U190" si="234">ROUND($M190*Q190,0)</f>
        <v>190016</v>
      </c>
      <c r="V190" s="177">
        <f t="shared" si="175"/>
        <v>10106</v>
      </c>
      <c r="W190" s="177">
        <f t="shared" si="176"/>
        <v>771749</v>
      </c>
      <c r="X190" s="177">
        <f t="shared" si="177"/>
        <v>0</v>
      </c>
      <c r="Y190" s="178">
        <f t="shared" si="178"/>
        <v>0</v>
      </c>
      <c r="Z190" s="179">
        <f t="shared" si="179"/>
        <v>-14.199999999999989</v>
      </c>
      <c r="AA190" s="180">
        <f t="shared" si="180"/>
        <v>-2.8531243721117115E-2</v>
      </c>
    </row>
    <row r="191" spans="1:27" x14ac:dyDescent="0.55000000000000004">
      <c r="A191" s="229" t="s">
        <v>184</v>
      </c>
      <c r="B191" s="181">
        <f>INDEX(Data[FY2026 Budget Enrollment],MATCH(A191,Data[Label],0))+INDEX(Data[FY2026 ESA],MATCH(A191,Data[Label],0))</f>
        <v>734.6</v>
      </c>
      <c r="C191" s="91">
        <f>INDEX(Data[FY2026 TSS],MATCH(A191,Data[Label],0))</f>
        <v>1090.43</v>
      </c>
      <c r="D191" s="91">
        <f>INDEX(Data[FY2026 PD],MATCH(A191,Data[Label],0))</f>
        <v>67.3</v>
      </c>
      <c r="E191" s="91">
        <f>INDEX(Data[FY2026 Early Intervention],MATCH(A191,Data[Label],0))</f>
        <v>78.290000000000006</v>
      </c>
      <c r="F191" s="91">
        <f>INDEX(Data[FY2026 TLC],MATCH(A191,Data[Label],0))</f>
        <v>385.29</v>
      </c>
      <c r="G191" s="182">
        <f t="shared" si="165"/>
        <v>801030</v>
      </c>
      <c r="H191" s="182">
        <f t="shared" si="166"/>
        <v>49439</v>
      </c>
      <c r="I191" s="182">
        <f t="shared" si="167"/>
        <v>57512</v>
      </c>
      <c r="J191" s="182">
        <f t="shared" si="168"/>
        <v>283034</v>
      </c>
      <c r="K191" s="182">
        <f>INDEX(Data[FY2026 TSS Budget Guarantee],MATCH(A191,Data[Label],0))+INDEX(Data[FY2026 PD Budget Guarantee],MATCH(A191,Data[Label],0))+INDEX(Data[FY2026 Early Intervention Budget Guarantee],MATCH(A191,Data[Label],0))+INDEX(Data[FY2026 TLC Budget Gurantee],MATCH(A191,Data[Label],0))</f>
        <v>0</v>
      </c>
      <c r="L191" s="182">
        <f t="shared" si="169"/>
        <v>1191015</v>
      </c>
      <c r="M191" s="181">
        <f>INDEX(Data[FY2027 Budget Enrollment],MATCH(A191,Data[Label],0))+INDEX(Data[FY2027 ESAs],MATCH(A191,Data[Label],0))</f>
        <v>721.3</v>
      </c>
      <c r="N191" s="91">
        <f t="shared" si="170"/>
        <v>1104.1200000000001</v>
      </c>
      <c r="O191" s="91">
        <f t="shared" si="171"/>
        <v>68.849999999999994</v>
      </c>
      <c r="P191" s="91">
        <f t="shared" si="172"/>
        <v>79.98</v>
      </c>
      <c r="Q191" s="91">
        <f t="shared" si="173"/>
        <v>393</v>
      </c>
      <c r="R191" s="182">
        <f t="shared" si="181"/>
        <v>796402</v>
      </c>
      <c r="S191" s="182">
        <f t="shared" si="182"/>
        <v>49662</v>
      </c>
      <c r="T191" s="182">
        <f t="shared" si="183"/>
        <v>57690</v>
      </c>
      <c r="U191" s="182">
        <f t="shared" ref="U191" si="235">ROUND($M191*Q191,)</f>
        <v>283471</v>
      </c>
      <c r="V191" s="182">
        <f t="shared" si="175"/>
        <v>4628</v>
      </c>
      <c r="W191" s="182">
        <f t="shared" si="176"/>
        <v>1191853</v>
      </c>
      <c r="X191" s="182">
        <f t="shared" si="177"/>
        <v>838</v>
      </c>
      <c r="Y191" s="183">
        <f t="shared" si="178"/>
        <v>7.0360154993849783E-4</v>
      </c>
      <c r="Z191" s="184">
        <f t="shared" si="179"/>
        <v>-13.300000000000068</v>
      </c>
      <c r="AA191" s="185">
        <f t="shared" si="180"/>
        <v>-1.8105091206098649E-2</v>
      </c>
    </row>
    <row r="192" spans="1:27" x14ac:dyDescent="0.55000000000000004">
      <c r="A192" s="230" t="s">
        <v>185</v>
      </c>
      <c r="B192" s="176">
        <f>INDEX(Data[FY2026 Budget Enrollment],MATCH(A192,Data[Label],0))+INDEX(Data[FY2026 ESA],MATCH(A192,Data[Label],0))</f>
        <v>2010.5</v>
      </c>
      <c r="C192" s="218">
        <f>INDEX(Data[FY2026 TSS],MATCH(A192,Data[Label],0))</f>
        <v>748.99</v>
      </c>
      <c r="D192" s="218">
        <f>INDEX(Data[FY2026 PD],MATCH(A192,Data[Label],0))</f>
        <v>80.099999999999994</v>
      </c>
      <c r="E192" s="218">
        <f>INDEX(Data[FY2026 Early Intervention],MATCH(A192,Data[Label],0))</f>
        <v>78.69</v>
      </c>
      <c r="F192" s="218">
        <f>INDEX(Data[FY2026 TLC],MATCH(A192,Data[Label],0))</f>
        <v>385.29</v>
      </c>
      <c r="G192" s="177">
        <f t="shared" si="165"/>
        <v>1505844</v>
      </c>
      <c r="H192" s="177">
        <f t="shared" si="166"/>
        <v>161041</v>
      </c>
      <c r="I192" s="177">
        <f t="shared" si="167"/>
        <v>158206</v>
      </c>
      <c r="J192" s="177">
        <f t="shared" si="168"/>
        <v>774626</v>
      </c>
      <c r="K192" s="177">
        <f>INDEX(Data[FY2026 TSS Budget Guarantee],MATCH(A192,Data[Label],0))+INDEX(Data[FY2026 PD Budget Guarantee],MATCH(A192,Data[Label],0))+INDEX(Data[FY2026 Early Intervention Budget Guarantee],MATCH(A192,Data[Label],0))+INDEX(Data[FY2026 TLC Budget Gurantee],MATCH(A192,Data[Label],0))</f>
        <v>0</v>
      </c>
      <c r="L192" s="177">
        <f t="shared" si="169"/>
        <v>2599717</v>
      </c>
      <c r="M192" s="176">
        <f>INDEX(Data[FY2027 Budget Enrollment],MATCH(A192,Data[Label],0))+INDEX(Data[FY2027 ESAs],MATCH(A192,Data[Label],0))</f>
        <v>2035.6</v>
      </c>
      <c r="N192" s="218">
        <f t="shared" si="170"/>
        <v>762.68000000000006</v>
      </c>
      <c r="O192" s="218">
        <f t="shared" si="171"/>
        <v>81.649999999999991</v>
      </c>
      <c r="P192" s="218">
        <f t="shared" si="172"/>
        <v>80.38</v>
      </c>
      <c r="Q192" s="218">
        <f t="shared" si="173"/>
        <v>393</v>
      </c>
      <c r="R192" s="177">
        <f t="shared" si="181"/>
        <v>1552511</v>
      </c>
      <c r="S192" s="177">
        <f t="shared" si="182"/>
        <v>166207</v>
      </c>
      <c r="T192" s="177">
        <f t="shared" si="183"/>
        <v>163622</v>
      </c>
      <c r="U192" s="177">
        <f t="shared" ref="U192" si="236">ROUND($M192*Q192,0)</f>
        <v>799991</v>
      </c>
      <c r="V192" s="177">
        <f t="shared" si="175"/>
        <v>0</v>
      </c>
      <c r="W192" s="177">
        <f t="shared" si="176"/>
        <v>2682331</v>
      </c>
      <c r="X192" s="177">
        <f t="shared" si="177"/>
        <v>82614</v>
      </c>
      <c r="Y192" s="178">
        <f t="shared" si="178"/>
        <v>3.1778074305780203E-2</v>
      </c>
      <c r="Z192" s="179">
        <f t="shared" si="179"/>
        <v>25.099999999999909</v>
      </c>
      <c r="AA192" s="180">
        <f t="shared" si="180"/>
        <v>1.248445660283507E-2</v>
      </c>
    </row>
    <row r="193" spans="1:27" x14ac:dyDescent="0.55000000000000004">
      <c r="A193" s="229" t="s">
        <v>186</v>
      </c>
      <c r="B193" s="181">
        <f>INDEX(Data[FY2026 Budget Enrollment],MATCH(A193,Data[Label],0))+INDEX(Data[FY2026 ESA],MATCH(A193,Data[Label],0))</f>
        <v>454.4</v>
      </c>
      <c r="C193" s="91">
        <f>INDEX(Data[FY2026 TSS],MATCH(A193,Data[Label],0))</f>
        <v>1229.97</v>
      </c>
      <c r="D193" s="91">
        <f>INDEX(Data[FY2026 PD],MATCH(A193,Data[Label],0))</f>
        <v>65.47</v>
      </c>
      <c r="E193" s="91">
        <f>INDEX(Data[FY2026 Early Intervention],MATCH(A193,Data[Label],0))</f>
        <v>83.57</v>
      </c>
      <c r="F193" s="91">
        <f>INDEX(Data[FY2026 TLC],MATCH(A193,Data[Label],0))</f>
        <v>385.29</v>
      </c>
      <c r="G193" s="182">
        <f t="shared" si="165"/>
        <v>558898</v>
      </c>
      <c r="H193" s="182">
        <f t="shared" si="166"/>
        <v>29750</v>
      </c>
      <c r="I193" s="182">
        <f t="shared" si="167"/>
        <v>37974</v>
      </c>
      <c r="J193" s="182">
        <f t="shared" si="168"/>
        <v>175076</v>
      </c>
      <c r="K193" s="182">
        <f>INDEX(Data[FY2026 TSS Budget Guarantee],MATCH(A193,Data[Label],0))+INDEX(Data[FY2026 PD Budget Guarantee],MATCH(A193,Data[Label],0))+INDEX(Data[FY2026 Early Intervention Budget Guarantee],MATCH(A193,Data[Label],0))+INDEX(Data[FY2026 TLC Budget Gurantee],MATCH(A193,Data[Label],0))</f>
        <v>1041</v>
      </c>
      <c r="L193" s="182">
        <f t="shared" si="169"/>
        <v>802739</v>
      </c>
      <c r="M193" s="181">
        <f>INDEX(Data[FY2027 Budget Enrollment],MATCH(A193,Data[Label],0))+INDEX(Data[FY2027 ESAs],MATCH(A193,Data[Label],0))</f>
        <v>454.9</v>
      </c>
      <c r="N193" s="91">
        <f t="shared" si="170"/>
        <v>1243.6600000000001</v>
      </c>
      <c r="O193" s="91">
        <f t="shared" si="171"/>
        <v>67.02</v>
      </c>
      <c r="P193" s="91">
        <f t="shared" si="172"/>
        <v>85.259999999999991</v>
      </c>
      <c r="Q193" s="91">
        <f t="shared" si="173"/>
        <v>393</v>
      </c>
      <c r="R193" s="182">
        <f t="shared" si="181"/>
        <v>565741</v>
      </c>
      <c r="S193" s="182">
        <f t="shared" si="182"/>
        <v>30487</v>
      </c>
      <c r="T193" s="182">
        <f t="shared" si="183"/>
        <v>38785</v>
      </c>
      <c r="U193" s="182">
        <f t="shared" ref="U193" si="237">ROUND($M193*Q193,)</f>
        <v>178776</v>
      </c>
      <c r="V193" s="182">
        <f t="shared" si="175"/>
        <v>0</v>
      </c>
      <c r="W193" s="182">
        <f t="shared" si="176"/>
        <v>813789</v>
      </c>
      <c r="X193" s="182">
        <f t="shared" si="177"/>
        <v>11050</v>
      </c>
      <c r="Y193" s="183">
        <f t="shared" si="178"/>
        <v>1.3765370811683499E-2</v>
      </c>
      <c r="Z193" s="184">
        <f t="shared" si="179"/>
        <v>0.5</v>
      </c>
      <c r="AA193" s="185">
        <f t="shared" si="180"/>
        <v>1.1003521126760564E-3</v>
      </c>
    </row>
    <row r="194" spans="1:27" x14ac:dyDescent="0.55000000000000004">
      <c r="A194" s="230" t="s">
        <v>187</v>
      </c>
      <c r="B194" s="176">
        <f>INDEX(Data[FY2026 Budget Enrollment],MATCH(A194,Data[Label],0))+INDEX(Data[FY2026 ESA],MATCH(A194,Data[Label],0))</f>
        <v>1008.6</v>
      </c>
      <c r="C194" s="218">
        <f>INDEX(Data[FY2026 TSS],MATCH(A194,Data[Label],0))</f>
        <v>1035.03</v>
      </c>
      <c r="D194" s="218">
        <f>INDEX(Data[FY2026 PD],MATCH(A194,Data[Label],0))</f>
        <v>69.03</v>
      </c>
      <c r="E194" s="218">
        <f>INDEX(Data[FY2026 Early Intervention],MATCH(A194,Data[Label],0))</f>
        <v>74.77</v>
      </c>
      <c r="F194" s="218">
        <f>INDEX(Data[FY2026 TLC],MATCH(A194,Data[Label],0))</f>
        <v>385.29</v>
      </c>
      <c r="G194" s="177">
        <f t="shared" si="165"/>
        <v>1043931</v>
      </c>
      <c r="H194" s="177">
        <f t="shared" si="166"/>
        <v>69624</v>
      </c>
      <c r="I194" s="177">
        <f t="shared" si="167"/>
        <v>75413</v>
      </c>
      <c r="J194" s="177">
        <f t="shared" si="168"/>
        <v>388603</v>
      </c>
      <c r="K194" s="177">
        <f>INDEX(Data[FY2026 TSS Budget Guarantee],MATCH(A194,Data[Label],0))+INDEX(Data[FY2026 PD Budget Guarantee],MATCH(A194,Data[Label],0))+INDEX(Data[FY2026 Early Intervention Budget Guarantee],MATCH(A194,Data[Label],0))+INDEX(Data[FY2026 TLC Budget Gurantee],MATCH(A194,Data[Label],0))</f>
        <v>0</v>
      </c>
      <c r="L194" s="177">
        <f t="shared" si="169"/>
        <v>1577571</v>
      </c>
      <c r="M194" s="176">
        <f>INDEX(Data[FY2027 Budget Enrollment],MATCH(A194,Data[Label],0))+INDEX(Data[FY2027 ESAs],MATCH(A194,Data[Label],0))</f>
        <v>994.2</v>
      </c>
      <c r="N194" s="218">
        <f t="shared" si="170"/>
        <v>1048.72</v>
      </c>
      <c r="O194" s="218">
        <f t="shared" si="171"/>
        <v>70.58</v>
      </c>
      <c r="P194" s="218">
        <f t="shared" si="172"/>
        <v>76.459999999999994</v>
      </c>
      <c r="Q194" s="218">
        <f t="shared" si="173"/>
        <v>393</v>
      </c>
      <c r="R194" s="177">
        <f t="shared" si="181"/>
        <v>1042637</v>
      </c>
      <c r="S194" s="177">
        <f t="shared" si="182"/>
        <v>70171</v>
      </c>
      <c r="T194" s="177">
        <f t="shared" si="183"/>
        <v>76017</v>
      </c>
      <c r="U194" s="177">
        <f t="shared" ref="U194" si="238">ROUND($M194*Q194,0)</f>
        <v>390721</v>
      </c>
      <c r="V194" s="177">
        <f t="shared" si="175"/>
        <v>1294</v>
      </c>
      <c r="W194" s="177">
        <f t="shared" si="176"/>
        <v>1580840</v>
      </c>
      <c r="X194" s="177">
        <f t="shared" si="177"/>
        <v>3269</v>
      </c>
      <c r="Y194" s="178">
        <f t="shared" si="178"/>
        <v>2.0721729798532048E-3</v>
      </c>
      <c r="Z194" s="179">
        <f t="shared" si="179"/>
        <v>-14.399999999999977</v>
      </c>
      <c r="AA194" s="180">
        <f t="shared" si="180"/>
        <v>-1.4277215942891113E-2</v>
      </c>
    </row>
    <row r="195" spans="1:27" x14ac:dyDescent="0.55000000000000004">
      <c r="A195" s="229" t="s">
        <v>188</v>
      </c>
      <c r="B195" s="181">
        <f>INDEX(Data[FY2026 Budget Enrollment],MATCH(A195,Data[Label],0))+INDEX(Data[FY2026 ESA],MATCH(A195,Data[Label],0))</f>
        <v>304.39999999999998</v>
      </c>
      <c r="C195" s="91">
        <f>INDEX(Data[FY2026 TSS],MATCH(A195,Data[Label],0))</f>
        <v>1608.83</v>
      </c>
      <c r="D195" s="91">
        <f>INDEX(Data[FY2026 PD],MATCH(A195,Data[Label],0))</f>
        <v>86.95</v>
      </c>
      <c r="E195" s="91">
        <f>INDEX(Data[FY2026 Early Intervention],MATCH(A195,Data[Label],0))</f>
        <v>96.47</v>
      </c>
      <c r="F195" s="91">
        <f>INDEX(Data[FY2026 TLC],MATCH(A195,Data[Label],0))</f>
        <v>385.29</v>
      </c>
      <c r="G195" s="182">
        <f t="shared" si="165"/>
        <v>489728</v>
      </c>
      <c r="H195" s="182">
        <f t="shared" si="166"/>
        <v>26468</v>
      </c>
      <c r="I195" s="182">
        <f t="shared" si="167"/>
        <v>29365</v>
      </c>
      <c r="J195" s="182">
        <f t="shared" si="168"/>
        <v>117282</v>
      </c>
      <c r="K195" s="182">
        <f>INDEX(Data[FY2026 TSS Budget Guarantee],MATCH(A195,Data[Label],0))+INDEX(Data[FY2026 PD Budget Guarantee],MATCH(A195,Data[Label],0))+INDEX(Data[FY2026 Early Intervention Budget Guarantee],MATCH(A195,Data[Label],0))+INDEX(Data[FY2026 TLC Budget Gurantee],MATCH(A195,Data[Label],0))</f>
        <v>5383</v>
      </c>
      <c r="L195" s="182">
        <f t="shared" si="169"/>
        <v>668226</v>
      </c>
      <c r="M195" s="181">
        <f>INDEX(Data[FY2027 Budget Enrollment],MATCH(A195,Data[Label],0))+INDEX(Data[FY2027 ESAs],MATCH(A195,Data[Label],0))</f>
        <v>301.10000000000002</v>
      </c>
      <c r="N195" s="91">
        <f t="shared" si="170"/>
        <v>1622.52</v>
      </c>
      <c r="O195" s="91">
        <f t="shared" si="171"/>
        <v>88.5</v>
      </c>
      <c r="P195" s="91">
        <f t="shared" si="172"/>
        <v>98.16</v>
      </c>
      <c r="Q195" s="91">
        <f t="shared" si="173"/>
        <v>393</v>
      </c>
      <c r="R195" s="182">
        <f t="shared" si="181"/>
        <v>488541</v>
      </c>
      <c r="S195" s="182">
        <f t="shared" si="182"/>
        <v>26647</v>
      </c>
      <c r="T195" s="182">
        <f t="shared" si="183"/>
        <v>29556</v>
      </c>
      <c r="U195" s="182">
        <f t="shared" ref="U195" si="239">ROUND($M195*Q195,)</f>
        <v>118332</v>
      </c>
      <c r="V195" s="182">
        <f t="shared" si="175"/>
        <v>1187</v>
      </c>
      <c r="W195" s="182">
        <f t="shared" si="176"/>
        <v>664263</v>
      </c>
      <c r="X195" s="182">
        <f t="shared" si="177"/>
        <v>-3963</v>
      </c>
      <c r="Y195" s="183">
        <f t="shared" si="178"/>
        <v>-5.9306282604986932E-3</v>
      </c>
      <c r="Z195" s="184">
        <f t="shared" si="179"/>
        <v>-3.2999999999999545</v>
      </c>
      <c r="AA195" s="185">
        <f t="shared" si="180"/>
        <v>-1.0840998685939405E-2</v>
      </c>
    </row>
    <row r="196" spans="1:27" x14ac:dyDescent="0.55000000000000004">
      <c r="A196" s="230" t="s">
        <v>189</v>
      </c>
      <c r="B196" s="176">
        <f>INDEX(Data[FY2026 Budget Enrollment],MATCH(A196,Data[Label],0))+INDEX(Data[FY2026 ESA],MATCH(A196,Data[Label],0))</f>
        <v>206.4</v>
      </c>
      <c r="C196" s="218">
        <f>INDEX(Data[FY2026 TSS],MATCH(A196,Data[Label],0))</f>
        <v>2149.29</v>
      </c>
      <c r="D196" s="218">
        <f>INDEX(Data[FY2026 PD],MATCH(A196,Data[Label],0))</f>
        <v>66.37</v>
      </c>
      <c r="E196" s="218">
        <f>INDEX(Data[FY2026 Early Intervention],MATCH(A196,Data[Label],0))</f>
        <v>82.43</v>
      </c>
      <c r="F196" s="218">
        <f>INDEX(Data[FY2026 TLC],MATCH(A196,Data[Label],0))</f>
        <v>385.29</v>
      </c>
      <c r="G196" s="177">
        <f t="shared" si="165"/>
        <v>443613</v>
      </c>
      <c r="H196" s="177">
        <f t="shared" si="166"/>
        <v>13699</v>
      </c>
      <c r="I196" s="177">
        <f t="shared" si="167"/>
        <v>17014</v>
      </c>
      <c r="J196" s="177">
        <f t="shared" si="168"/>
        <v>79524</v>
      </c>
      <c r="K196" s="177">
        <f>INDEX(Data[FY2026 TSS Budget Guarantee],MATCH(A196,Data[Label],0))+INDEX(Data[FY2026 PD Budget Guarantee],MATCH(A196,Data[Label],0))+INDEX(Data[FY2026 Early Intervention Budget Guarantee],MATCH(A196,Data[Label],0))+INDEX(Data[FY2026 TLC Budget Gurantee],MATCH(A196,Data[Label],0))</f>
        <v>5582</v>
      </c>
      <c r="L196" s="177">
        <f t="shared" si="169"/>
        <v>559432</v>
      </c>
      <c r="M196" s="176">
        <f>INDEX(Data[FY2027 Budget Enrollment],MATCH(A196,Data[Label],0))+INDEX(Data[FY2027 ESAs],MATCH(A196,Data[Label],0))</f>
        <v>210.9</v>
      </c>
      <c r="N196" s="218">
        <f t="shared" si="170"/>
        <v>2162.98</v>
      </c>
      <c r="O196" s="218">
        <f t="shared" si="171"/>
        <v>67.92</v>
      </c>
      <c r="P196" s="218">
        <f t="shared" si="172"/>
        <v>84.12</v>
      </c>
      <c r="Q196" s="218">
        <f t="shared" si="173"/>
        <v>393</v>
      </c>
      <c r="R196" s="177">
        <f t="shared" si="181"/>
        <v>456172</v>
      </c>
      <c r="S196" s="177">
        <f t="shared" si="182"/>
        <v>14324</v>
      </c>
      <c r="T196" s="177">
        <f t="shared" si="183"/>
        <v>17741</v>
      </c>
      <c r="U196" s="177">
        <f t="shared" ref="U196" si="240">ROUND($M196*Q196,0)</f>
        <v>82884</v>
      </c>
      <c r="V196" s="177">
        <f t="shared" si="175"/>
        <v>0</v>
      </c>
      <c r="W196" s="177">
        <f t="shared" si="176"/>
        <v>571121</v>
      </c>
      <c r="X196" s="177">
        <f t="shared" si="177"/>
        <v>11689</v>
      </c>
      <c r="Y196" s="178">
        <f t="shared" si="178"/>
        <v>2.0894407184429923E-2</v>
      </c>
      <c r="Z196" s="179">
        <f t="shared" si="179"/>
        <v>4.5</v>
      </c>
      <c r="AA196" s="180">
        <f t="shared" si="180"/>
        <v>2.1802325581395349E-2</v>
      </c>
    </row>
    <row r="197" spans="1:27" x14ac:dyDescent="0.55000000000000004">
      <c r="A197" s="229" t="s">
        <v>190</v>
      </c>
      <c r="B197" s="181">
        <f>INDEX(Data[FY2026 Budget Enrollment],MATCH(A197,Data[Label],0))+INDEX(Data[FY2026 ESA],MATCH(A197,Data[Label],0))</f>
        <v>191</v>
      </c>
      <c r="C197" s="91">
        <f>INDEX(Data[FY2026 TSS],MATCH(A197,Data[Label],0))</f>
        <v>1217.6600000000001</v>
      </c>
      <c r="D197" s="91">
        <f>INDEX(Data[FY2026 PD],MATCH(A197,Data[Label],0))</f>
        <v>77.180000000000007</v>
      </c>
      <c r="E197" s="91">
        <f>INDEX(Data[FY2026 Early Intervention],MATCH(A197,Data[Label],0))</f>
        <v>99.93</v>
      </c>
      <c r="F197" s="91">
        <f>INDEX(Data[FY2026 TLC],MATCH(A197,Data[Label],0))</f>
        <v>385.29</v>
      </c>
      <c r="G197" s="182">
        <f t="shared" si="165"/>
        <v>232573</v>
      </c>
      <c r="H197" s="182">
        <f t="shared" si="166"/>
        <v>14741</v>
      </c>
      <c r="I197" s="182">
        <f t="shared" si="167"/>
        <v>19087</v>
      </c>
      <c r="J197" s="182">
        <f t="shared" si="168"/>
        <v>73590</v>
      </c>
      <c r="K197" s="182">
        <f>INDEX(Data[FY2026 TSS Budget Guarantee],MATCH(A197,Data[Label],0))+INDEX(Data[FY2026 PD Budget Guarantee],MATCH(A197,Data[Label],0))+INDEX(Data[FY2026 Early Intervention Budget Guarantee],MATCH(A197,Data[Label],0))+INDEX(Data[FY2026 TLC Budget Gurantee],MATCH(A197,Data[Label],0))</f>
        <v>9435</v>
      </c>
      <c r="L197" s="182">
        <f t="shared" si="169"/>
        <v>349426</v>
      </c>
      <c r="M197" s="181">
        <f>INDEX(Data[FY2027 Budget Enrollment],MATCH(A197,Data[Label],0))+INDEX(Data[FY2027 ESAs],MATCH(A197,Data[Label],0))</f>
        <v>194</v>
      </c>
      <c r="N197" s="91">
        <f t="shared" si="170"/>
        <v>1231.3500000000001</v>
      </c>
      <c r="O197" s="91">
        <f t="shared" si="171"/>
        <v>78.73</v>
      </c>
      <c r="P197" s="91">
        <f t="shared" si="172"/>
        <v>101.62</v>
      </c>
      <c r="Q197" s="91">
        <f t="shared" si="173"/>
        <v>393</v>
      </c>
      <c r="R197" s="182">
        <f t="shared" si="181"/>
        <v>238882</v>
      </c>
      <c r="S197" s="182">
        <f t="shared" si="182"/>
        <v>15274</v>
      </c>
      <c r="T197" s="182">
        <f t="shared" si="183"/>
        <v>19714</v>
      </c>
      <c r="U197" s="182">
        <f t="shared" ref="U197" si="241">ROUND($M197*Q197,)</f>
        <v>76242</v>
      </c>
      <c r="V197" s="182">
        <f t="shared" si="175"/>
        <v>0</v>
      </c>
      <c r="W197" s="182">
        <f t="shared" si="176"/>
        <v>350112</v>
      </c>
      <c r="X197" s="182">
        <f t="shared" si="177"/>
        <v>686</v>
      </c>
      <c r="Y197" s="183">
        <f t="shared" si="178"/>
        <v>1.9632196802756522E-3</v>
      </c>
      <c r="Z197" s="184">
        <f t="shared" si="179"/>
        <v>3</v>
      </c>
      <c r="AA197" s="185">
        <f t="shared" si="180"/>
        <v>1.5706806282722512E-2</v>
      </c>
    </row>
    <row r="198" spans="1:27" x14ac:dyDescent="0.55000000000000004">
      <c r="A198" s="230" t="s">
        <v>191</v>
      </c>
      <c r="B198" s="176">
        <f>INDEX(Data[FY2026 Budget Enrollment],MATCH(A198,Data[Label],0))+INDEX(Data[FY2026 ESA],MATCH(A198,Data[Label],0))</f>
        <v>203.8</v>
      </c>
      <c r="C198" s="218">
        <f>INDEX(Data[FY2026 TSS],MATCH(A198,Data[Label],0))</f>
        <v>1563.29</v>
      </c>
      <c r="D198" s="218">
        <f>INDEX(Data[FY2026 PD],MATCH(A198,Data[Label],0))</f>
        <v>78.5</v>
      </c>
      <c r="E198" s="218">
        <f>INDEX(Data[FY2026 Early Intervention],MATCH(A198,Data[Label],0))</f>
        <v>87.79</v>
      </c>
      <c r="F198" s="218">
        <f>INDEX(Data[FY2026 TLC],MATCH(A198,Data[Label],0))</f>
        <v>385.29</v>
      </c>
      <c r="G198" s="177">
        <f t="shared" si="165"/>
        <v>318599</v>
      </c>
      <c r="H198" s="177">
        <f t="shared" si="166"/>
        <v>15998</v>
      </c>
      <c r="I198" s="177">
        <f t="shared" si="167"/>
        <v>17892</v>
      </c>
      <c r="J198" s="177">
        <f t="shared" si="168"/>
        <v>78522</v>
      </c>
      <c r="K198" s="177">
        <f>INDEX(Data[FY2026 TSS Budget Guarantee],MATCH(A198,Data[Label],0))+INDEX(Data[FY2026 PD Budget Guarantee],MATCH(A198,Data[Label],0))+INDEX(Data[FY2026 Early Intervention Budget Guarantee],MATCH(A198,Data[Label],0))+INDEX(Data[FY2026 TLC Budget Gurantee],MATCH(A198,Data[Label],0))</f>
        <v>0</v>
      </c>
      <c r="L198" s="177">
        <f t="shared" si="169"/>
        <v>431011</v>
      </c>
      <c r="M198" s="176">
        <f>INDEX(Data[FY2027 Budget Enrollment],MATCH(A198,Data[Label],0))+INDEX(Data[FY2027 ESAs],MATCH(A198,Data[Label],0))</f>
        <v>201</v>
      </c>
      <c r="N198" s="218">
        <f t="shared" si="170"/>
        <v>1576.98</v>
      </c>
      <c r="O198" s="218">
        <f t="shared" si="171"/>
        <v>80.05</v>
      </c>
      <c r="P198" s="218">
        <f t="shared" si="172"/>
        <v>89.48</v>
      </c>
      <c r="Q198" s="218">
        <f t="shared" si="173"/>
        <v>393</v>
      </c>
      <c r="R198" s="177">
        <f t="shared" si="181"/>
        <v>316973</v>
      </c>
      <c r="S198" s="177">
        <f t="shared" si="182"/>
        <v>16090</v>
      </c>
      <c r="T198" s="177">
        <f t="shared" si="183"/>
        <v>17985</v>
      </c>
      <c r="U198" s="177">
        <f t="shared" ref="U198" si="242">ROUND($M198*Q198,0)</f>
        <v>78993</v>
      </c>
      <c r="V198" s="177">
        <f t="shared" si="175"/>
        <v>1626</v>
      </c>
      <c r="W198" s="177">
        <f t="shared" si="176"/>
        <v>431667</v>
      </c>
      <c r="X198" s="177">
        <f t="shared" si="177"/>
        <v>656</v>
      </c>
      <c r="Y198" s="178">
        <f t="shared" si="178"/>
        <v>1.5220029187190118E-3</v>
      </c>
      <c r="Z198" s="179">
        <f t="shared" si="179"/>
        <v>-2.8000000000000114</v>
      </c>
      <c r="AA198" s="180">
        <f t="shared" si="180"/>
        <v>-1.373895976447503E-2</v>
      </c>
    </row>
    <row r="199" spans="1:27" x14ac:dyDescent="0.55000000000000004">
      <c r="A199" s="229" t="s">
        <v>192</v>
      </c>
      <c r="B199" s="181">
        <f>INDEX(Data[FY2026 Budget Enrollment],MATCH(A199,Data[Label],0))+INDEX(Data[FY2026 ESA],MATCH(A199,Data[Label],0))</f>
        <v>587.29999999999995</v>
      </c>
      <c r="C199" s="91">
        <f>INDEX(Data[FY2026 TSS],MATCH(A199,Data[Label],0))</f>
        <v>1104.3800000000001</v>
      </c>
      <c r="D199" s="91">
        <f>INDEX(Data[FY2026 PD],MATCH(A199,Data[Label],0))</f>
        <v>93.81</v>
      </c>
      <c r="E199" s="91">
        <f>INDEX(Data[FY2026 Early Intervention],MATCH(A199,Data[Label],0))</f>
        <v>89.15</v>
      </c>
      <c r="F199" s="91">
        <f>INDEX(Data[FY2026 TLC],MATCH(A199,Data[Label],0))</f>
        <v>385.29</v>
      </c>
      <c r="G199" s="182">
        <f t="shared" si="165"/>
        <v>648602</v>
      </c>
      <c r="H199" s="182">
        <f t="shared" si="166"/>
        <v>55095</v>
      </c>
      <c r="I199" s="182">
        <f t="shared" si="167"/>
        <v>52358</v>
      </c>
      <c r="J199" s="182">
        <f t="shared" si="168"/>
        <v>226281</v>
      </c>
      <c r="K199" s="182">
        <f>INDEX(Data[FY2026 TSS Budget Guarantee],MATCH(A199,Data[Label],0))+INDEX(Data[FY2026 PD Budget Guarantee],MATCH(A199,Data[Label],0))+INDEX(Data[FY2026 Early Intervention Budget Guarantee],MATCH(A199,Data[Label],0))+INDEX(Data[FY2026 TLC Budget Gurantee],MATCH(A199,Data[Label],0))</f>
        <v>131</v>
      </c>
      <c r="L199" s="182">
        <f t="shared" si="169"/>
        <v>982467</v>
      </c>
      <c r="M199" s="181">
        <f>INDEX(Data[FY2027 Budget Enrollment],MATCH(A199,Data[Label],0))+INDEX(Data[FY2027 ESAs],MATCH(A199,Data[Label],0))</f>
        <v>562.5</v>
      </c>
      <c r="N199" s="91">
        <f t="shared" si="170"/>
        <v>1118.0700000000002</v>
      </c>
      <c r="O199" s="91">
        <f t="shared" si="171"/>
        <v>95.36</v>
      </c>
      <c r="P199" s="91">
        <f t="shared" si="172"/>
        <v>90.84</v>
      </c>
      <c r="Q199" s="91">
        <f t="shared" si="173"/>
        <v>393</v>
      </c>
      <c r="R199" s="182">
        <f t="shared" si="181"/>
        <v>628914</v>
      </c>
      <c r="S199" s="182">
        <f t="shared" si="182"/>
        <v>53640</v>
      </c>
      <c r="T199" s="182">
        <f t="shared" si="183"/>
        <v>51098</v>
      </c>
      <c r="U199" s="182">
        <f t="shared" ref="U199" si="243">ROUND($M199*Q199,)</f>
        <v>221063</v>
      </c>
      <c r="V199" s="182">
        <f t="shared" si="175"/>
        <v>27621</v>
      </c>
      <c r="W199" s="182">
        <f t="shared" si="176"/>
        <v>982336</v>
      </c>
      <c r="X199" s="182">
        <f t="shared" si="177"/>
        <v>-131</v>
      </c>
      <c r="Y199" s="183">
        <f t="shared" si="178"/>
        <v>-1.3333781185525823E-4</v>
      </c>
      <c r="Z199" s="184">
        <f t="shared" si="179"/>
        <v>-24.799999999999955</v>
      </c>
      <c r="AA199" s="185">
        <f t="shared" si="180"/>
        <v>-4.2227141154435481E-2</v>
      </c>
    </row>
    <row r="200" spans="1:27" x14ac:dyDescent="0.55000000000000004">
      <c r="A200" s="230" t="s">
        <v>193</v>
      </c>
      <c r="B200" s="176">
        <f>INDEX(Data[FY2026 Budget Enrollment],MATCH(A200,Data[Label],0))+INDEX(Data[FY2026 ESA],MATCH(A200,Data[Label],0))</f>
        <v>1764.1</v>
      </c>
      <c r="C200" s="218">
        <f>INDEX(Data[FY2026 TSS],MATCH(A200,Data[Label],0))</f>
        <v>819.63</v>
      </c>
      <c r="D200" s="218">
        <f>INDEX(Data[FY2026 PD],MATCH(A200,Data[Label],0))</f>
        <v>79.930000000000007</v>
      </c>
      <c r="E200" s="218">
        <f>INDEX(Data[FY2026 Early Intervention],MATCH(A200,Data[Label],0))</f>
        <v>88.89</v>
      </c>
      <c r="F200" s="218">
        <f>INDEX(Data[FY2026 TLC],MATCH(A200,Data[Label],0))</f>
        <v>385.29</v>
      </c>
      <c r="G200" s="177">
        <f t="shared" si="165"/>
        <v>1445909</v>
      </c>
      <c r="H200" s="177">
        <f t="shared" si="166"/>
        <v>141005</v>
      </c>
      <c r="I200" s="177">
        <f t="shared" si="167"/>
        <v>156811</v>
      </c>
      <c r="J200" s="177">
        <f t="shared" si="168"/>
        <v>679690</v>
      </c>
      <c r="K200" s="177">
        <f>INDEX(Data[FY2026 TSS Budget Guarantee],MATCH(A200,Data[Label],0))+INDEX(Data[FY2026 PD Budget Guarantee],MATCH(A200,Data[Label],0))+INDEX(Data[FY2026 Early Intervention Budget Guarantee],MATCH(A200,Data[Label],0))+INDEX(Data[FY2026 TLC Budget Gurantee],MATCH(A200,Data[Label],0))</f>
        <v>0</v>
      </c>
      <c r="L200" s="177">
        <f t="shared" si="169"/>
        <v>2423415</v>
      </c>
      <c r="M200" s="176">
        <f>INDEX(Data[FY2027 Budget Enrollment],MATCH(A200,Data[Label],0))+INDEX(Data[FY2027 ESAs],MATCH(A200,Data[Label],0))</f>
        <v>1728.2</v>
      </c>
      <c r="N200" s="218">
        <f t="shared" si="170"/>
        <v>833.32</v>
      </c>
      <c r="O200" s="218">
        <f t="shared" si="171"/>
        <v>81.48</v>
      </c>
      <c r="P200" s="218">
        <f t="shared" si="172"/>
        <v>90.58</v>
      </c>
      <c r="Q200" s="218">
        <f t="shared" si="173"/>
        <v>393</v>
      </c>
      <c r="R200" s="177">
        <f t="shared" si="181"/>
        <v>1440144</v>
      </c>
      <c r="S200" s="177">
        <f t="shared" si="182"/>
        <v>140814</v>
      </c>
      <c r="T200" s="177">
        <f t="shared" si="183"/>
        <v>156540</v>
      </c>
      <c r="U200" s="177">
        <f t="shared" ref="U200" si="244">ROUND($M200*Q200,0)</f>
        <v>679183</v>
      </c>
      <c r="V200" s="177">
        <f t="shared" si="175"/>
        <v>6734</v>
      </c>
      <c r="W200" s="177">
        <f t="shared" si="176"/>
        <v>2423415</v>
      </c>
      <c r="X200" s="177">
        <f t="shared" si="177"/>
        <v>0</v>
      </c>
      <c r="Y200" s="178">
        <f t="shared" si="178"/>
        <v>0</v>
      </c>
      <c r="Z200" s="179">
        <f t="shared" si="179"/>
        <v>-35.899999999999864</v>
      </c>
      <c r="AA200" s="180">
        <f t="shared" si="180"/>
        <v>-2.0350320276628232E-2</v>
      </c>
    </row>
    <row r="201" spans="1:27" x14ac:dyDescent="0.55000000000000004">
      <c r="A201" s="229" t="s">
        <v>194</v>
      </c>
      <c r="B201" s="181">
        <f>INDEX(Data[FY2026 Budget Enrollment],MATCH(A201,Data[Label],0))+INDEX(Data[FY2026 ESA],MATCH(A201,Data[Label],0))</f>
        <v>1101.3</v>
      </c>
      <c r="C201" s="91">
        <f>INDEX(Data[FY2026 TSS],MATCH(A201,Data[Label],0))</f>
        <v>855.07</v>
      </c>
      <c r="D201" s="91">
        <f>INDEX(Data[FY2026 PD],MATCH(A201,Data[Label],0))</f>
        <v>78</v>
      </c>
      <c r="E201" s="91">
        <f>INDEX(Data[FY2026 Early Intervention],MATCH(A201,Data[Label],0))</f>
        <v>84.79</v>
      </c>
      <c r="F201" s="91">
        <f>INDEX(Data[FY2026 TLC],MATCH(A201,Data[Label],0))</f>
        <v>385.29</v>
      </c>
      <c r="G201" s="182">
        <f t="shared" si="165"/>
        <v>941689</v>
      </c>
      <c r="H201" s="182">
        <f t="shared" si="166"/>
        <v>85901</v>
      </c>
      <c r="I201" s="182">
        <f t="shared" si="167"/>
        <v>93379</v>
      </c>
      <c r="J201" s="182">
        <f t="shared" si="168"/>
        <v>424320</v>
      </c>
      <c r="K201" s="182">
        <f>INDEX(Data[FY2026 TSS Budget Guarantee],MATCH(A201,Data[Label],0))+INDEX(Data[FY2026 PD Budget Guarantee],MATCH(A201,Data[Label],0))+INDEX(Data[FY2026 Early Intervention Budget Guarantee],MATCH(A201,Data[Label],0))+INDEX(Data[FY2026 TLC Budget Gurantee],MATCH(A201,Data[Label],0))</f>
        <v>0</v>
      </c>
      <c r="L201" s="182">
        <f t="shared" si="169"/>
        <v>1545289</v>
      </c>
      <c r="M201" s="181">
        <f>INDEX(Data[FY2027 Budget Enrollment],MATCH(A201,Data[Label],0))+INDEX(Data[FY2027 ESAs],MATCH(A201,Data[Label],0))</f>
        <v>1139.0999999999999</v>
      </c>
      <c r="N201" s="91">
        <f t="shared" si="170"/>
        <v>868.7600000000001</v>
      </c>
      <c r="O201" s="91">
        <f t="shared" si="171"/>
        <v>79.55</v>
      </c>
      <c r="P201" s="91">
        <f t="shared" si="172"/>
        <v>86.48</v>
      </c>
      <c r="Q201" s="91">
        <f t="shared" si="173"/>
        <v>393</v>
      </c>
      <c r="R201" s="182">
        <f t="shared" si="181"/>
        <v>989605</v>
      </c>
      <c r="S201" s="182">
        <f t="shared" si="182"/>
        <v>90615</v>
      </c>
      <c r="T201" s="182">
        <f t="shared" si="183"/>
        <v>98509</v>
      </c>
      <c r="U201" s="182">
        <f t="shared" ref="U201" si="245">ROUND($M201*Q201,)</f>
        <v>447666</v>
      </c>
      <c r="V201" s="182">
        <f t="shared" si="175"/>
        <v>0</v>
      </c>
      <c r="W201" s="182">
        <f t="shared" si="176"/>
        <v>1626395</v>
      </c>
      <c r="X201" s="182">
        <f t="shared" si="177"/>
        <v>81106</v>
      </c>
      <c r="Y201" s="183">
        <f t="shared" si="178"/>
        <v>5.2485975115334413E-2</v>
      </c>
      <c r="Z201" s="184">
        <f t="shared" si="179"/>
        <v>37.799999999999955</v>
      </c>
      <c r="AA201" s="185">
        <f t="shared" si="180"/>
        <v>3.4323072732225512E-2</v>
      </c>
    </row>
    <row r="202" spans="1:27" x14ac:dyDescent="0.55000000000000004">
      <c r="A202" s="230" t="s">
        <v>195</v>
      </c>
      <c r="B202" s="176">
        <f>INDEX(Data[FY2026 Budget Enrollment],MATCH(A202,Data[Label],0))+INDEX(Data[FY2026 ESA],MATCH(A202,Data[Label],0))</f>
        <v>219.4</v>
      </c>
      <c r="C202" s="218">
        <f>INDEX(Data[FY2026 TSS],MATCH(A202,Data[Label],0))</f>
        <v>1555.74</v>
      </c>
      <c r="D202" s="218">
        <f>INDEX(Data[FY2026 PD],MATCH(A202,Data[Label],0))</f>
        <v>80.209999999999994</v>
      </c>
      <c r="E202" s="218">
        <f>INDEX(Data[FY2026 Early Intervention],MATCH(A202,Data[Label],0))</f>
        <v>96.62</v>
      </c>
      <c r="F202" s="218">
        <f>INDEX(Data[FY2026 TLC],MATCH(A202,Data[Label],0))</f>
        <v>385.29</v>
      </c>
      <c r="G202" s="177">
        <f t="shared" si="165"/>
        <v>341329</v>
      </c>
      <c r="H202" s="177">
        <f t="shared" si="166"/>
        <v>17598</v>
      </c>
      <c r="I202" s="177">
        <f t="shared" si="167"/>
        <v>21198</v>
      </c>
      <c r="J202" s="177">
        <f t="shared" si="168"/>
        <v>84533</v>
      </c>
      <c r="K202" s="177">
        <f>INDEX(Data[FY2026 TSS Budget Guarantee],MATCH(A202,Data[Label],0))+INDEX(Data[FY2026 PD Budget Guarantee],MATCH(A202,Data[Label],0))+INDEX(Data[FY2026 Early Intervention Budget Guarantee],MATCH(A202,Data[Label],0))+INDEX(Data[FY2026 TLC Budget Gurantee],MATCH(A202,Data[Label],0))</f>
        <v>0</v>
      </c>
      <c r="L202" s="177">
        <f t="shared" si="169"/>
        <v>464658</v>
      </c>
      <c r="M202" s="176">
        <f>INDEX(Data[FY2027 Budget Enrollment],MATCH(A202,Data[Label],0))+INDEX(Data[FY2027 ESAs],MATCH(A202,Data[Label],0))</f>
        <v>214.3</v>
      </c>
      <c r="N202" s="218">
        <f t="shared" si="170"/>
        <v>1569.43</v>
      </c>
      <c r="O202" s="218">
        <f t="shared" si="171"/>
        <v>81.759999999999991</v>
      </c>
      <c r="P202" s="218">
        <f t="shared" si="172"/>
        <v>98.31</v>
      </c>
      <c r="Q202" s="218">
        <f t="shared" si="173"/>
        <v>393</v>
      </c>
      <c r="R202" s="177">
        <f t="shared" si="181"/>
        <v>336329</v>
      </c>
      <c r="S202" s="177">
        <f t="shared" si="182"/>
        <v>17521</v>
      </c>
      <c r="T202" s="177">
        <f t="shared" si="183"/>
        <v>21068</v>
      </c>
      <c r="U202" s="177">
        <f t="shared" ref="U202" si="246">ROUND($M202*Q202,0)</f>
        <v>84220</v>
      </c>
      <c r="V202" s="177">
        <f t="shared" si="175"/>
        <v>5520</v>
      </c>
      <c r="W202" s="177">
        <f t="shared" si="176"/>
        <v>464658</v>
      </c>
      <c r="X202" s="177">
        <f t="shared" si="177"/>
        <v>0</v>
      </c>
      <c r="Y202" s="178">
        <f t="shared" si="178"/>
        <v>0</v>
      </c>
      <c r="Z202" s="179">
        <f t="shared" si="179"/>
        <v>-5.0999999999999943</v>
      </c>
      <c r="AA202" s="180">
        <f t="shared" si="180"/>
        <v>-2.3245214220601614E-2</v>
      </c>
    </row>
    <row r="203" spans="1:27" x14ac:dyDescent="0.55000000000000004">
      <c r="A203" s="229" t="s">
        <v>196</v>
      </c>
      <c r="B203" s="181">
        <f>INDEX(Data[FY2026 Budget Enrollment],MATCH(A203,Data[Label],0))+INDEX(Data[FY2026 ESA],MATCH(A203,Data[Label],0))</f>
        <v>4516.8999999999996</v>
      </c>
      <c r="C203" s="91">
        <f>INDEX(Data[FY2026 TSS],MATCH(A203,Data[Label],0))</f>
        <v>821.05</v>
      </c>
      <c r="D203" s="91">
        <f>INDEX(Data[FY2026 PD],MATCH(A203,Data[Label],0))</f>
        <v>73.87</v>
      </c>
      <c r="E203" s="91">
        <f>INDEX(Data[FY2026 Early Intervention],MATCH(A203,Data[Label],0))</f>
        <v>88.97</v>
      </c>
      <c r="F203" s="91">
        <f>INDEX(Data[FY2026 TLC],MATCH(A203,Data[Label],0))</f>
        <v>385.29</v>
      </c>
      <c r="G203" s="182">
        <f t="shared" ref="G203:G266" si="247">ROUND($B203*C203,0)</f>
        <v>3708601</v>
      </c>
      <c r="H203" s="182">
        <f t="shared" ref="H203:H266" si="248">ROUND($B203*D203,0)</f>
        <v>333663</v>
      </c>
      <c r="I203" s="182">
        <f t="shared" ref="I203:I266" si="249">ROUND($B203*E203,0)</f>
        <v>401869</v>
      </c>
      <c r="J203" s="182">
        <f t="shared" ref="J203:J266" si="250">ROUND($B203*F203,0)</f>
        <v>1740316</v>
      </c>
      <c r="K203" s="182">
        <f>INDEX(Data[FY2026 TSS Budget Guarantee],MATCH(A203,Data[Label],0))+INDEX(Data[FY2026 PD Budget Guarantee],MATCH(A203,Data[Label],0))+INDEX(Data[FY2026 Early Intervention Budget Guarantee],MATCH(A203,Data[Label],0))+INDEX(Data[FY2026 TLC Budget Gurantee],MATCH(A203,Data[Label],0))</f>
        <v>0</v>
      </c>
      <c r="L203" s="182">
        <f t="shared" ref="L203:L266" si="251">G203+H203+I203+J203+K203</f>
        <v>6184449</v>
      </c>
      <c r="M203" s="181">
        <f>INDEX(Data[FY2027 Budget Enrollment],MATCH(A203,Data[Label],0))+INDEX(Data[FY2027 ESAs],MATCH(A203,Data[Label],0))</f>
        <v>4517.3</v>
      </c>
      <c r="N203" s="91">
        <f t="shared" ref="N203:N266" si="252">C203+ROUND(684.47*$B$6,2)</f>
        <v>834.74</v>
      </c>
      <c r="O203" s="91">
        <f t="shared" ref="O203:O266" si="253">D203+ROUND(77.52*$B$6,2)</f>
        <v>75.42</v>
      </c>
      <c r="P203" s="91">
        <f t="shared" ref="P203:P266" si="254">E203+ROUND(84.44*$B$6,2)</f>
        <v>90.66</v>
      </c>
      <c r="Q203" s="91">
        <f t="shared" ref="Q203:Q266" si="255">F203+ROUND(F203*$B$6,2)</f>
        <v>393</v>
      </c>
      <c r="R203" s="182">
        <f t="shared" si="181"/>
        <v>3770771</v>
      </c>
      <c r="S203" s="182">
        <f t="shared" si="182"/>
        <v>340695</v>
      </c>
      <c r="T203" s="182">
        <f t="shared" si="183"/>
        <v>409538</v>
      </c>
      <c r="U203" s="182">
        <f t="shared" ref="U203" si="256">ROUND($M203*Q203,)</f>
        <v>1775299</v>
      </c>
      <c r="V203" s="182">
        <f t="shared" ref="V203:V266" si="257">ROUND(MAX((G203-R203),0),0)+ROUND(MAX((H203-S203),0),0)+ROUND(MAX((I203-T203),0),0)+ROUND(MAX((J203-U203),0),0)</f>
        <v>0</v>
      </c>
      <c r="W203" s="182">
        <f t="shared" ref="W203:W266" si="258">SUM(R203:U203)+V203</f>
        <v>6296303</v>
      </c>
      <c r="X203" s="182">
        <f t="shared" ref="X203:X266" si="259">W203-L203</f>
        <v>111854</v>
      </c>
      <c r="Y203" s="183">
        <f t="shared" ref="Y203:Y266" si="260">X203/L203</f>
        <v>1.8086332347473477E-2</v>
      </c>
      <c r="Z203" s="184">
        <f t="shared" ref="Z203:Z266" si="261">M203-B203</f>
        <v>0.4000000000005457</v>
      </c>
      <c r="AA203" s="185">
        <f t="shared" ref="AA203:AA266" si="262">Z203/B203</f>
        <v>8.8556310744215214E-5</v>
      </c>
    </row>
    <row r="204" spans="1:27" x14ac:dyDescent="0.55000000000000004">
      <c r="A204" s="230" t="s">
        <v>197</v>
      </c>
      <c r="B204" s="176">
        <f>INDEX(Data[FY2026 Budget Enrollment],MATCH(A204,Data[Label],0))+INDEX(Data[FY2026 ESA],MATCH(A204,Data[Label],0))</f>
        <v>582.6</v>
      </c>
      <c r="C204" s="218">
        <f>INDEX(Data[FY2026 TSS],MATCH(A204,Data[Label],0))</f>
        <v>980.15</v>
      </c>
      <c r="D204" s="218">
        <f>INDEX(Data[FY2026 PD],MATCH(A204,Data[Label],0))</f>
        <v>76.25</v>
      </c>
      <c r="E204" s="218">
        <f>INDEX(Data[FY2026 Early Intervention],MATCH(A204,Data[Label],0))</f>
        <v>69.47</v>
      </c>
      <c r="F204" s="218">
        <f>INDEX(Data[FY2026 TLC],MATCH(A204,Data[Label],0))</f>
        <v>385.29</v>
      </c>
      <c r="G204" s="177">
        <f t="shared" si="247"/>
        <v>571035</v>
      </c>
      <c r="H204" s="177">
        <f t="shared" si="248"/>
        <v>44423</v>
      </c>
      <c r="I204" s="177">
        <f t="shared" si="249"/>
        <v>40473</v>
      </c>
      <c r="J204" s="177">
        <f t="shared" si="250"/>
        <v>224470</v>
      </c>
      <c r="K204" s="177">
        <f>INDEX(Data[FY2026 TSS Budget Guarantee],MATCH(A204,Data[Label],0))+INDEX(Data[FY2026 PD Budget Guarantee],MATCH(A204,Data[Label],0))+INDEX(Data[FY2026 Early Intervention Budget Guarantee],MATCH(A204,Data[Label],0))+INDEX(Data[FY2026 TLC Budget Gurantee],MATCH(A204,Data[Label],0))</f>
        <v>2697</v>
      </c>
      <c r="L204" s="177">
        <f t="shared" si="251"/>
        <v>883098</v>
      </c>
      <c r="M204" s="176">
        <f>INDEX(Data[FY2027 Budget Enrollment],MATCH(A204,Data[Label],0))+INDEX(Data[FY2027 ESAs],MATCH(A204,Data[Label],0))</f>
        <v>594.6</v>
      </c>
      <c r="N204" s="218">
        <f t="shared" si="252"/>
        <v>993.84</v>
      </c>
      <c r="O204" s="218">
        <f t="shared" si="253"/>
        <v>77.8</v>
      </c>
      <c r="P204" s="218">
        <f t="shared" si="254"/>
        <v>71.16</v>
      </c>
      <c r="Q204" s="218">
        <f t="shared" si="255"/>
        <v>393</v>
      </c>
      <c r="R204" s="177">
        <f t="shared" ref="R204:R267" si="263">ROUND($M204*N204,0)</f>
        <v>590937</v>
      </c>
      <c r="S204" s="177">
        <f t="shared" ref="S204:S267" si="264">ROUND($M204*O204,0)</f>
        <v>46260</v>
      </c>
      <c r="T204" s="177">
        <f t="shared" ref="T204:T267" si="265">ROUND($M204*P204,0)</f>
        <v>42312</v>
      </c>
      <c r="U204" s="177">
        <f t="shared" ref="U204" si="266">ROUND($M204*Q204,0)</f>
        <v>233678</v>
      </c>
      <c r="V204" s="177">
        <f t="shared" si="257"/>
        <v>0</v>
      </c>
      <c r="W204" s="177">
        <f t="shared" si="258"/>
        <v>913187</v>
      </c>
      <c r="X204" s="177">
        <f t="shared" si="259"/>
        <v>30089</v>
      </c>
      <c r="Y204" s="178">
        <f t="shared" si="260"/>
        <v>3.4072096188644978E-2</v>
      </c>
      <c r="Z204" s="179">
        <f t="shared" si="261"/>
        <v>12</v>
      </c>
      <c r="AA204" s="180">
        <f t="shared" si="262"/>
        <v>2.0597322348094745E-2</v>
      </c>
    </row>
    <row r="205" spans="1:27" x14ac:dyDescent="0.55000000000000004">
      <c r="A205" s="229" t="s">
        <v>198</v>
      </c>
      <c r="B205" s="181">
        <f>INDEX(Data[FY2026 Budget Enrollment],MATCH(A205,Data[Label],0))+INDEX(Data[FY2026 ESA],MATCH(A205,Data[Label],0))</f>
        <v>1404.9</v>
      </c>
      <c r="C205" s="91">
        <f>INDEX(Data[FY2026 TSS],MATCH(A205,Data[Label],0))</f>
        <v>866.23</v>
      </c>
      <c r="D205" s="91">
        <f>INDEX(Data[FY2026 PD],MATCH(A205,Data[Label],0))</f>
        <v>81.77</v>
      </c>
      <c r="E205" s="91">
        <f>INDEX(Data[FY2026 Early Intervention],MATCH(A205,Data[Label],0))</f>
        <v>91.45</v>
      </c>
      <c r="F205" s="91">
        <f>INDEX(Data[FY2026 TLC],MATCH(A205,Data[Label],0))</f>
        <v>385.29</v>
      </c>
      <c r="G205" s="182">
        <f t="shared" si="247"/>
        <v>1216967</v>
      </c>
      <c r="H205" s="182">
        <f t="shared" si="248"/>
        <v>114879</v>
      </c>
      <c r="I205" s="182">
        <f t="shared" si="249"/>
        <v>128478</v>
      </c>
      <c r="J205" s="182">
        <f t="shared" si="250"/>
        <v>541294</v>
      </c>
      <c r="K205" s="182">
        <f>INDEX(Data[FY2026 TSS Budget Guarantee],MATCH(A205,Data[Label],0))+INDEX(Data[FY2026 PD Budget Guarantee],MATCH(A205,Data[Label],0))+INDEX(Data[FY2026 Early Intervention Budget Guarantee],MATCH(A205,Data[Label],0))+INDEX(Data[FY2026 TLC Budget Gurantee],MATCH(A205,Data[Label],0))</f>
        <v>0</v>
      </c>
      <c r="L205" s="182">
        <f t="shared" si="251"/>
        <v>2001618</v>
      </c>
      <c r="M205" s="181">
        <f>INDEX(Data[FY2027 Budget Enrollment],MATCH(A205,Data[Label],0))+INDEX(Data[FY2027 ESAs],MATCH(A205,Data[Label],0))</f>
        <v>1371.3</v>
      </c>
      <c r="N205" s="91">
        <f t="shared" si="252"/>
        <v>879.92000000000007</v>
      </c>
      <c r="O205" s="91">
        <f t="shared" si="253"/>
        <v>83.32</v>
      </c>
      <c r="P205" s="91">
        <f t="shared" si="254"/>
        <v>93.14</v>
      </c>
      <c r="Q205" s="91">
        <f t="shared" si="255"/>
        <v>393</v>
      </c>
      <c r="R205" s="182">
        <f t="shared" si="263"/>
        <v>1206634</v>
      </c>
      <c r="S205" s="182">
        <f t="shared" si="264"/>
        <v>114257</v>
      </c>
      <c r="T205" s="182">
        <f t="shared" si="265"/>
        <v>127723</v>
      </c>
      <c r="U205" s="182">
        <f t="shared" ref="U205" si="267">ROUND($M205*Q205,)</f>
        <v>538921</v>
      </c>
      <c r="V205" s="182">
        <f t="shared" si="257"/>
        <v>14083</v>
      </c>
      <c r="W205" s="182">
        <f t="shared" si="258"/>
        <v>2001618</v>
      </c>
      <c r="X205" s="182">
        <f t="shared" si="259"/>
        <v>0</v>
      </c>
      <c r="Y205" s="183">
        <f t="shared" si="260"/>
        <v>0</v>
      </c>
      <c r="Z205" s="184">
        <f t="shared" si="261"/>
        <v>-33.600000000000136</v>
      </c>
      <c r="AA205" s="185">
        <f t="shared" si="262"/>
        <v>-2.3916292974589033E-2</v>
      </c>
    </row>
    <row r="206" spans="1:27" x14ac:dyDescent="0.55000000000000004">
      <c r="A206" s="230" t="s">
        <v>199</v>
      </c>
      <c r="B206" s="176">
        <f>INDEX(Data[FY2026 Budget Enrollment],MATCH(A206,Data[Label],0))+INDEX(Data[FY2026 ESA],MATCH(A206,Data[Label],0))</f>
        <v>1049.8</v>
      </c>
      <c r="C206" s="218">
        <f>INDEX(Data[FY2026 TSS],MATCH(A206,Data[Label],0))</f>
        <v>944.64</v>
      </c>
      <c r="D206" s="218">
        <f>INDEX(Data[FY2026 PD],MATCH(A206,Data[Label],0))</f>
        <v>76.7</v>
      </c>
      <c r="E206" s="218">
        <f>INDEX(Data[FY2026 Early Intervention],MATCH(A206,Data[Label],0))</f>
        <v>65.97</v>
      </c>
      <c r="F206" s="218">
        <f>INDEX(Data[FY2026 TLC],MATCH(A206,Data[Label],0))</f>
        <v>385.29</v>
      </c>
      <c r="G206" s="177">
        <f t="shared" si="247"/>
        <v>991683</v>
      </c>
      <c r="H206" s="177">
        <f t="shared" si="248"/>
        <v>80520</v>
      </c>
      <c r="I206" s="177">
        <f t="shared" si="249"/>
        <v>69255</v>
      </c>
      <c r="J206" s="177">
        <f t="shared" si="250"/>
        <v>404477</v>
      </c>
      <c r="K206" s="177">
        <f>INDEX(Data[FY2026 TSS Budget Guarantee],MATCH(A206,Data[Label],0))+INDEX(Data[FY2026 PD Budget Guarantee],MATCH(A206,Data[Label],0))+INDEX(Data[FY2026 Early Intervention Budget Guarantee],MATCH(A206,Data[Label],0))+INDEX(Data[FY2026 TLC Budget Gurantee],MATCH(A206,Data[Label],0))</f>
        <v>0</v>
      </c>
      <c r="L206" s="177">
        <f t="shared" si="251"/>
        <v>1545935</v>
      </c>
      <c r="M206" s="176">
        <f>INDEX(Data[FY2027 Budget Enrollment],MATCH(A206,Data[Label],0))+INDEX(Data[FY2027 ESAs],MATCH(A206,Data[Label],0))</f>
        <v>1048.3</v>
      </c>
      <c r="N206" s="218">
        <f t="shared" si="252"/>
        <v>958.33</v>
      </c>
      <c r="O206" s="218">
        <f t="shared" si="253"/>
        <v>78.25</v>
      </c>
      <c r="P206" s="218">
        <f t="shared" si="254"/>
        <v>67.66</v>
      </c>
      <c r="Q206" s="218">
        <f t="shared" si="255"/>
        <v>393</v>
      </c>
      <c r="R206" s="177">
        <f t="shared" si="263"/>
        <v>1004617</v>
      </c>
      <c r="S206" s="177">
        <f t="shared" si="264"/>
        <v>82029</v>
      </c>
      <c r="T206" s="177">
        <f t="shared" si="265"/>
        <v>70928</v>
      </c>
      <c r="U206" s="177">
        <f t="shared" ref="U206" si="268">ROUND($M206*Q206,0)</f>
        <v>411982</v>
      </c>
      <c r="V206" s="177">
        <f t="shared" si="257"/>
        <v>0</v>
      </c>
      <c r="W206" s="177">
        <f t="shared" si="258"/>
        <v>1569556</v>
      </c>
      <c r="X206" s="177">
        <f t="shared" si="259"/>
        <v>23621</v>
      </c>
      <c r="Y206" s="178">
        <f t="shared" si="260"/>
        <v>1.5279426366567806E-2</v>
      </c>
      <c r="Z206" s="179">
        <f t="shared" si="261"/>
        <v>-1.5</v>
      </c>
      <c r="AA206" s="180">
        <f t="shared" si="262"/>
        <v>-1.4288435892550963E-3</v>
      </c>
    </row>
    <row r="207" spans="1:27" x14ac:dyDescent="0.55000000000000004">
      <c r="A207" s="229" t="s">
        <v>200</v>
      </c>
      <c r="B207" s="181">
        <f>INDEX(Data[FY2026 Budget Enrollment],MATCH(A207,Data[Label],0))+INDEX(Data[FY2026 ESA],MATCH(A207,Data[Label],0))</f>
        <v>551.9</v>
      </c>
      <c r="C207" s="91">
        <f>INDEX(Data[FY2026 TSS],MATCH(A207,Data[Label],0))</f>
        <v>996.25</v>
      </c>
      <c r="D207" s="91">
        <f>INDEX(Data[FY2026 PD],MATCH(A207,Data[Label],0))</f>
        <v>75.11</v>
      </c>
      <c r="E207" s="91">
        <f>INDEX(Data[FY2026 Early Intervention],MATCH(A207,Data[Label],0))</f>
        <v>84.52</v>
      </c>
      <c r="F207" s="91">
        <f>INDEX(Data[FY2026 TLC],MATCH(A207,Data[Label],0))</f>
        <v>385.29</v>
      </c>
      <c r="G207" s="182">
        <f t="shared" si="247"/>
        <v>549830</v>
      </c>
      <c r="H207" s="182">
        <f t="shared" si="248"/>
        <v>41453</v>
      </c>
      <c r="I207" s="182">
        <f t="shared" si="249"/>
        <v>46647</v>
      </c>
      <c r="J207" s="182">
        <f t="shared" si="250"/>
        <v>212642</v>
      </c>
      <c r="K207" s="182">
        <f>INDEX(Data[FY2026 TSS Budget Guarantee],MATCH(A207,Data[Label],0))+INDEX(Data[FY2026 PD Budget Guarantee],MATCH(A207,Data[Label],0))+INDEX(Data[FY2026 Early Intervention Budget Guarantee],MATCH(A207,Data[Label],0))+INDEX(Data[FY2026 TLC Budget Gurantee],MATCH(A207,Data[Label],0))</f>
        <v>0</v>
      </c>
      <c r="L207" s="182">
        <f t="shared" si="251"/>
        <v>850572</v>
      </c>
      <c r="M207" s="181">
        <f>INDEX(Data[FY2027 Budget Enrollment],MATCH(A207,Data[Label],0))+INDEX(Data[FY2027 ESAs],MATCH(A207,Data[Label],0))</f>
        <v>540.4</v>
      </c>
      <c r="N207" s="91">
        <f t="shared" si="252"/>
        <v>1009.94</v>
      </c>
      <c r="O207" s="91">
        <f t="shared" si="253"/>
        <v>76.66</v>
      </c>
      <c r="P207" s="91">
        <f t="shared" si="254"/>
        <v>86.21</v>
      </c>
      <c r="Q207" s="91">
        <f t="shared" si="255"/>
        <v>393</v>
      </c>
      <c r="R207" s="182">
        <f t="shared" si="263"/>
        <v>545772</v>
      </c>
      <c r="S207" s="182">
        <f t="shared" si="264"/>
        <v>41427</v>
      </c>
      <c r="T207" s="182">
        <f t="shared" si="265"/>
        <v>46588</v>
      </c>
      <c r="U207" s="182">
        <f t="shared" ref="U207" si="269">ROUND($M207*Q207,)</f>
        <v>212377</v>
      </c>
      <c r="V207" s="182">
        <f t="shared" si="257"/>
        <v>4408</v>
      </c>
      <c r="W207" s="182">
        <f t="shared" si="258"/>
        <v>850572</v>
      </c>
      <c r="X207" s="182">
        <f t="shared" si="259"/>
        <v>0</v>
      </c>
      <c r="Y207" s="183">
        <f t="shared" si="260"/>
        <v>0</v>
      </c>
      <c r="Z207" s="184">
        <f t="shared" si="261"/>
        <v>-11.5</v>
      </c>
      <c r="AA207" s="185">
        <f t="shared" si="262"/>
        <v>-2.0837108171770251E-2</v>
      </c>
    </row>
    <row r="208" spans="1:27" x14ac:dyDescent="0.55000000000000004">
      <c r="A208" s="230" t="s">
        <v>201</v>
      </c>
      <c r="B208" s="176">
        <f>INDEX(Data[FY2026 Budget Enrollment],MATCH(A208,Data[Label],0))+INDEX(Data[FY2026 ESA],MATCH(A208,Data[Label],0))</f>
        <v>464.9</v>
      </c>
      <c r="C208" s="218">
        <f>INDEX(Data[FY2026 TSS],MATCH(A208,Data[Label],0))</f>
        <v>1275.57</v>
      </c>
      <c r="D208" s="218">
        <f>INDEX(Data[FY2026 PD],MATCH(A208,Data[Label],0))</f>
        <v>74.89</v>
      </c>
      <c r="E208" s="218">
        <f>INDEX(Data[FY2026 Early Intervention],MATCH(A208,Data[Label],0))</f>
        <v>88.77</v>
      </c>
      <c r="F208" s="218">
        <f>INDEX(Data[FY2026 TLC],MATCH(A208,Data[Label],0))</f>
        <v>385.29</v>
      </c>
      <c r="G208" s="177">
        <f t="shared" si="247"/>
        <v>593012</v>
      </c>
      <c r="H208" s="177">
        <f t="shared" si="248"/>
        <v>34816</v>
      </c>
      <c r="I208" s="177">
        <f t="shared" si="249"/>
        <v>41269</v>
      </c>
      <c r="J208" s="177">
        <f t="shared" si="250"/>
        <v>179121</v>
      </c>
      <c r="K208" s="177">
        <f>INDEX(Data[FY2026 TSS Budget Guarantee],MATCH(A208,Data[Label],0))+INDEX(Data[FY2026 PD Budget Guarantee],MATCH(A208,Data[Label],0))+INDEX(Data[FY2026 Early Intervention Budget Guarantee],MATCH(A208,Data[Label],0))+INDEX(Data[FY2026 TLC Budget Gurantee],MATCH(A208,Data[Label],0))</f>
        <v>2870</v>
      </c>
      <c r="L208" s="177">
        <f t="shared" si="251"/>
        <v>851088</v>
      </c>
      <c r="M208" s="176">
        <f>INDEX(Data[FY2027 Budget Enrollment],MATCH(A208,Data[Label],0))+INDEX(Data[FY2027 ESAs],MATCH(A208,Data[Label],0))</f>
        <v>440.7</v>
      </c>
      <c r="N208" s="218">
        <f t="shared" si="252"/>
        <v>1289.26</v>
      </c>
      <c r="O208" s="218">
        <f t="shared" si="253"/>
        <v>76.44</v>
      </c>
      <c r="P208" s="218">
        <f t="shared" si="254"/>
        <v>90.46</v>
      </c>
      <c r="Q208" s="218">
        <f t="shared" si="255"/>
        <v>393</v>
      </c>
      <c r="R208" s="177">
        <f t="shared" si="263"/>
        <v>568177</v>
      </c>
      <c r="S208" s="177">
        <f t="shared" si="264"/>
        <v>33687</v>
      </c>
      <c r="T208" s="177">
        <f t="shared" si="265"/>
        <v>39866</v>
      </c>
      <c r="U208" s="177">
        <f t="shared" ref="U208" si="270">ROUND($M208*Q208,0)</f>
        <v>173195</v>
      </c>
      <c r="V208" s="177">
        <f t="shared" si="257"/>
        <v>33293</v>
      </c>
      <c r="W208" s="177">
        <f t="shared" si="258"/>
        <v>848218</v>
      </c>
      <c r="X208" s="177">
        <f t="shared" si="259"/>
        <v>-2870</v>
      </c>
      <c r="Y208" s="178">
        <f t="shared" si="260"/>
        <v>-3.3721542308198446E-3</v>
      </c>
      <c r="Z208" s="179">
        <f t="shared" si="261"/>
        <v>-24.199999999999989</v>
      </c>
      <c r="AA208" s="180">
        <f t="shared" si="262"/>
        <v>-5.2054205205420499E-2</v>
      </c>
    </row>
    <row r="209" spans="1:27" x14ac:dyDescent="0.55000000000000004">
      <c r="A209" s="229" t="s">
        <v>202</v>
      </c>
      <c r="B209" s="181">
        <f>INDEX(Data[FY2026 Budget Enrollment],MATCH(A209,Data[Label],0))+INDEX(Data[FY2026 ESA],MATCH(A209,Data[Label],0))</f>
        <v>2943.8</v>
      </c>
      <c r="C209" s="91">
        <f>INDEX(Data[FY2026 TSS],MATCH(A209,Data[Label],0))</f>
        <v>763.71</v>
      </c>
      <c r="D209" s="91">
        <f>INDEX(Data[FY2026 PD],MATCH(A209,Data[Label],0))</f>
        <v>75.16</v>
      </c>
      <c r="E209" s="91">
        <f>INDEX(Data[FY2026 Early Intervention],MATCH(A209,Data[Label],0))</f>
        <v>87.02</v>
      </c>
      <c r="F209" s="91">
        <f>INDEX(Data[FY2026 TLC],MATCH(A209,Data[Label],0))</f>
        <v>385.29</v>
      </c>
      <c r="G209" s="182">
        <f t="shared" si="247"/>
        <v>2248209</v>
      </c>
      <c r="H209" s="182">
        <f t="shared" si="248"/>
        <v>221256</v>
      </c>
      <c r="I209" s="182">
        <f t="shared" si="249"/>
        <v>256169</v>
      </c>
      <c r="J209" s="182">
        <f t="shared" si="250"/>
        <v>1134217</v>
      </c>
      <c r="K209" s="182">
        <f>INDEX(Data[FY2026 TSS Budget Guarantee],MATCH(A209,Data[Label],0))+INDEX(Data[FY2026 PD Budget Guarantee],MATCH(A209,Data[Label],0))+INDEX(Data[FY2026 Early Intervention Budget Guarantee],MATCH(A209,Data[Label],0))+INDEX(Data[FY2026 TLC Budget Gurantee],MATCH(A209,Data[Label],0))</f>
        <v>0</v>
      </c>
      <c r="L209" s="182">
        <f t="shared" si="251"/>
        <v>3859851</v>
      </c>
      <c r="M209" s="181">
        <f>INDEX(Data[FY2027 Budget Enrollment],MATCH(A209,Data[Label],0))+INDEX(Data[FY2027 ESAs],MATCH(A209,Data[Label],0))</f>
        <v>2916.5</v>
      </c>
      <c r="N209" s="91">
        <f t="shared" si="252"/>
        <v>777.40000000000009</v>
      </c>
      <c r="O209" s="91">
        <f t="shared" si="253"/>
        <v>76.709999999999994</v>
      </c>
      <c r="P209" s="91">
        <f t="shared" si="254"/>
        <v>88.71</v>
      </c>
      <c r="Q209" s="91">
        <f t="shared" si="255"/>
        <v>393</v>
      </c>
      <c r="R209" s="182">
        <f t="shared" si="263"/>
        <v>2267287</v>
      </c>
      <c r="S209" s="182">
        <f t="shared" si="264"/>
        <v>223725</v>
      </c>
      <c r="T209" s="182">
        <f t="shared" si="265"/>
        <v>258723</v>
      </c>
      <c r="U209" s="182">
        <f t="shared" ref="U209" si="271">ROUND($M209*Q209,)</f>
        <v>1146185</v>
      </c>
      <c r="V209" s="182">
        <f t="shared" si="257"/>
        <v>0</v>
      </c>
      <c r="W209" s="182">
        <f t="shared" si="258"/>
        <v>3895920</v>
      </c>
      <c r="X209" s="182">
        <f t="shared" si="259"/>
        <v>36069</v>
      </c>
      <c r="Y209" s="183">
        <f t="shared" si="260"/>
        <v>9.3446612317418468E-3</v>
      </c>
      <c r="Z209" s="184">
        <f t="shared" si="261"/>
        <v>-27.300000000000182</v>
      </c>
      <c r="AA209" s="185">
        <f t="shared" si="262"/>
        <v>-9.2737278347714454E-3</v>
      </c>
    </row>
    <row r="210" spans="1:27" x14ac:dyDescent="0.55000000000000004">
      <c r="A210" s="230" t="s">
        <v>203</v>
      </c>
      <c r="B210" s="176">
        <f>INDEX(Data[FY2026 Budget Enrollment],MATCH(A210,Data[Label],0))+INDEX(Data[FY2026 ESA],MATCH(A210,Data[Label],0))</f>
        <v>646.1</v>
      </c>
      <c r="C210" s="218">
        <f>INDEX(Data[FY2026 TSS],MATCH(A210,Data[Label],0))</f>
        <v>1306.57</v>
      </c>
      <c r="D210" s="218">
        <f>INDEX(Data[FY2026 PD],MATCH(A210,Data[Label],0))</f>
        <v>82.65</v>
      </c>
      <c r="E210" s="218">
        <f>INDEX(Data[FY2026 Early Intervention],MATCH(A210,Data[Label],0))</f>
        <v>82.55</v>
      </c>
      <c r="F210" s="218">
        <f>INDEX(Data[FY2026 TLC],MATCH(A210,Data[Label],0))</f>
        <v>385.29</v>
      </c>
      <c r="G210" s="177">
        <f t="shared" si="247"/>
        <v>844175</v>
      </c>
      <c r="H210" s="177">
        <f t="shared" si="248"/>
        <v>53400</v>
      </c>
      <c r="I210" s="177">
        <f t="shared" si="249"/>
        <v>53336</v>
      </c>
      <c r="J210" s="177">
        <f t="shared" si="250"/>
        <v>248936</v>
      </c>
      <c r="K210" s="177">
        <f>INDEX(Data[FY2026 TSS Budget Guarantee],MATCH(A210,Data[Label],0))+INDEX(Data[FY2026 PD Budget Guarantee],MATCH(A210,Data[Label],0))+INDEX(Data[FY2026 Early Intervention Budget Guarantee],MATCH(A210,Data[Label],0))+INDEX(Data[FY2026 TLC Budget Gurantee],MATCH(A210,Data[Label],0))</f>
        <v>8288</v>
      </c>
      <c r="L210" s="177">
        <f t="shared" si="251"/>
        <v>1208135</v>
      </c>
      <c r="M210" s="176">
        <f>INDEX(Data[FY2027 Budget Enrollment],MATCH(A210,Data[Label],0))+INDEX(Data[FY2027 ESAs],MATCH(A210,Data[Label],0))</f>
        <v>673.7</v>
      </c>
      <c r="N210" s="218">
        <f t="shared" si="252"/>
        <v>1320.26</v>
      </c>
      <c r="O210" s="218">
        <f t="shared" si="253"/>
        <v>84.2</v>
      </c>
      <c r="P210" s="218">
        <f t="shared" si="254"/>
        <v>84.24</v>
      </c>
      <c r="Q210" s="218">
        <f t="shared" si="255"/>
        <v>393</v>
      </c>
      <c r="R210" s="177">
        <f t="shared" si="263"/>
        <v>889459</v>
      </c>
      <c r="S210" s="177">
        <f t="shared" si="264"/>
        <v>56726</v>
      </c>
      <c r="T210" s="177">
        <f t="shared" si="265"/>
        <v>56752</v>
      </c>
      <c r="U210" s="177">
        <f t="shared" ref="U210" si="272">ROUND($M210*Q210,0)</f>
        <v>264764</v>
      </c>
      <c r="V210" s="177">
        <f t="shared" si="257"/>
        <v>0</v>
      </c>
      <c r="W210" s="177">
        <f t="shared" si="258"/>
        <v>1267701</v>
      </c>
      <c r="X210" s="177">
        <f t="shared" si="259"/>
        <v>59566</v>
      </c>
      <c r="Y210" s="178">
        <f t="shared" si="260"/>
        <v>4.9304092671762674E-2</v>
      </c>
      <c r="Z210" s="179">
        <f t="shared" si="261"/>
        <v>27.600000000000023</v>
      </c>
      <c r="AA210" s="180">
        <f t="shared" si="262"/>
        <v>4.271784553474698E-2</v>
      </c>
    </row>
    <row r="211" spans="1:27" x14ac:dyDescent="0.55000000000000004">
      <c r="A211" s="229" t="s">
        <v>204</v>
      </c>
      <c r="B211" s="181">
        <f>INDEX(Data[FY2026 Budget Enrollment],MATCH(A211,Data[Label],0))+INDEX(Data[FY2026 ESA],MATCH(A211,Data[Label],0))</f>
        <v>527.9</v>
      </c>
      <c r="C211" s="91">
        <f>INDEX(Data[FY2026 TSS],MATCH(A211,Data[Label],0))</f>
        <v>1117.71</v>
      </c>
      <c r="D211" s="91">
        <f>INDEX(Data[FY2026 PD],MATCH(A211,Data[Label],0))</f>
        <v>85.87</v>
      </c>
      <c r="E211" s="91">
        <f>INDEX(Data[FY2026 Early Intervention],MATCH(A211,Data[Label],0))</f>
        <v>75.12</v>
      </c>
      <c r="F211" s="91">
        <f>INDEX(Data[FY2026 TLC],MATCH(A211,Data[Label],0))</f>
        <v>385.29</v>
      </c>
      <c r="G211" s="182">
        <f t="shared" si="247"/>
        <v>590039</v>
      </c>
      <c r="H211" s="182">
        <f t="shared" si="248"/>
        <v>45331</v>
      </c>
      <c r="I211" s="182">
        <f t="shared" si="249"/>
        <v>39656</v>
      </c>
      <c r="J211" s="182">
        <f t="shared" si="250"/>
        <v>203395</v>
      </c>
      <c r="K211" s="182">
        <f>INDEX(Data[FY2026 TSS Budget Guarantee],MATCH(A211,Data[Label],0))+INDEX(Data[FY2026 PD Budget Guarantee],MATCH(A211,Data[Label],0))+INDEX(Data[FY2026 Early Intervention Budget Guarantee],MATCH(A211,Data[Label],0))+INDEX(Data[FY2026 TLC Budget Gurantee],MATCH(A211,Data[Label],0))</f>
        <v>0</v>
      </c>
      <c r="L211" s="182">
        <f t="shared" si="251"/>
        <v>878421</v>
      </c>
      <c r="M211" s="181">
        <f>INDEX(Data[FY2027 Budget Enrollment],MATCH(A211,Data[Label],0))+INDEX(Data[FY2027 ESAs],MATCH(A211,Data[Label],0))</f>
        <v>507</v>
      </c>
      <c r="N211" s="91">
        <f t="shared" si="252"/>
        <v>1131.4000000000001</v>
      </c>
      <c r="O211" s="91">
        <f t="shared" si="253"/>
        <v>87.42</v>
      </c>
      <c r="P211" s="91">
        <f t="shared" si="254"/>
        <v>76.81</v>
      </c>
      <c r="Q211" s="91">
        <f t="shared" si="255"/>
        <v>393</v>
      </c>
      <c r="R211" s="182">
        <f t="shared" si="263"/>
        <v>573620</v>
      </c>
      <c r="S211" s="182">
        <f t="shared" si="264"/>
        <v>44322</v>
      </c>
      <c r="T211" s="182">
        <f t="shared" si="265"/>
        <v>38943</v>
      </c>
      <c r="U211" s="182">
        <f t="shared" ref="U211" si="273">ROUND($M211*Q211,)</f>
        <v>199251</v>
      </c>
      <c r="V211" s="182">
        <f t="shared" si="257"/>
        <v>22285</v>
      </c>
      <c r="W211" s="182">
        <f t="shared" si="258"/>
        <v>878421</v>
      </c>
      <c r="X211" s="182">
        <f t="shared" si="259"/>
        <v>0</v>
      </c>
      <c r="Y211" s="183">
        <f t="shared" si="260"/>
        <v>0</v>
      </c>
      <c r="Z211" s="184">
        <f t="shared" si="261"/>
        <v>-20.899999999999977</v>
      </c>
      <c r="AA211" s="185">
        <f t="shared" si="262"/>
        <v>-3.9590831596893312E-2</v>
      </c>
    </row>
    <row r="212" spans="1:27" x14ac:dyDescent="0.55000000000000004">
      <c r="A212" s="230" t="s">
        <v>205</v>
      </c>
      <c r="B212" s="176">
        <f>INDEX(Data[FY2026 Budget Enrollment],MATCH(A212,Data[Label],0))+INDEX(Data[FY2026 ESA],MATCH(A212,Data[Label],0))</f>
        <v>706.9</v>
      </c>
      <c r="C212" s="218">
        <f>INDEX(Data[FY2026 TSS],MATCH(A212,Data[Label],0))</f>
        <v>1483.9</v>
      </c>
      <c r="D212" s="218">
        <f>INDEX(Data[FY2026 PD],MATCH(A212,Data[Label],0))</f>
        <v>73.760000000000005</v>
      </c>
      <c r="E212" s="218">
        <f>INDEX(Data[FY2026 Early Intervention],MATCH(A212,Data[Label],0))</f>
        <v>73.31</v>
      </c>
      <c r="F212" s="218">
        <f>INDEX(Data[FY2026 TLC],MATCH(A212,Data[Label],0))</f>
        <v>385.29</v>
      </c>
      <c r="G212" s="177">
        <f t="shared" si="247"/>
        <v>1048969</v>
      </c>
      <c r="H212" s="177">
        <f t="shared" si="248"/>
        <v>52141</v>
      </c>
      <c r="I212" s="177">
        <f t="shared" si="249"/>
        <v>51823</v>
      </c>
      <c r="J212" s="177">
        <f t="shared" si="250"/>
        <v>272362</v>
      </c>
      <c r="K212" s="177">
        <f>INDEX(Data[FY2026 TSS Budget Guarantee],MATCH(A212,Data[Label],0))+INDEX(Data[FY2026 PD Budget Guarantee],MATCH(A212,Data[Label],0))+INDEX(Data[FY2026 Early Intervention Budget Guarantee],MATCH(A212,Data[Label],0))+INDEX(Data[FY2026 TLC Budget Gurantee],MATCH(A212,Data[Label],0))</f>
        <v>0</v>
      </c>
      <c r="L212" s="177">
        <f t="shared" si="251"/>
        <v>1425295</v>
      </c>
      <c r="M212" s="176">
        <f>INDEX(Data[FY2027 Budget Enrollment],MATCH(A212,Data[Label],0))+INDEX(Data[FY2027 ESAs],MATCH(A212,Data[Label],0))</f>
        <v>677.1</v>
      </c>
      <c r="N212" s="218">
        <f t="shared" si="252"/>
        <v>1497.5900000000001</v>
      </c>
      <c r="O212" s="218">
        <f t="shared" si="253"/>
        <v>75.31</v>
      </c>
      <c r="P212" s="218">
        <f t="shared" si="254"/>
        <v>75</v>
      </c>
      <c r="Q212" s="218">
        <f t="shared" si="255"/>
        <v>393</v>
      </c>
      <c r="R212" s="177">
        <f t="shared" si="263"/>
        <v>1014018</v>
      </c>
      <c r="S212" s="177">
        <f t="shared" si="264"/>
        <v>50992</v>
      </c>
      <c r="T212" s="177">
        <f t="shared" si="265"/>
        <v>50783</v>
      </c>
      <c r="U212" s="177">
        <f t="shared" ref="U212" si="274">ROUND($M212*Q212,0)</f>
        <v>266100</v>
      </c>
      <c r="V212" s="177">
        <f t="shared" si="257"/>
        <v>43402</v>
      </c>
      <c r="W212" s="177">
        <f t="shared" si="258"/>
        <v>1425295</v>
      </c>
      <c r="X212" s="177">
        <f t="shared" si="259"/>
        <v>0</v>
      </c>
      <c r="Y212" s="178">
        <f t="shared" si="260"/>
        <v>0</v>
      </c>
      <c r="Z212" s="179">
        <f t="shared" si="261"/>
        <v>-29.799999999999955</v>
      </c>
      <c r="AA212" s="180">
        <f t="shared" si="262"/>
        <v>-4.2155891922478365E-2</v>
      </c>
    </row>
    <row r="213" spans="1:27" x14ac:dyDescent="0.55000000000000004">
      <c r="A213" s="229" t="s">
        <v>206</v>
      </c>
      <c r="B213" s="181">
        <f>INDEX(Data[FY2026 Budget Enrollment],MATCH(A213,Data[Label],0))+INDEX(Data[FY2026 ESA],MATCH(A213,Data[Label],0))</f>
        <v>1110.4000000000001</v>
      </c>
      <c r="C213" s="91">
        <f>INDEX(Data[FY2026 TSS],MATCH(A213,Data[Label],0))</f>
        <v>876.91</v>
      </c>
      <c r="D213" s="91">
        <f>INDEX(Data[FY2026 PD],MATCH(A213,Data[Label],0))</f>
        <v>76.38</v>
      </c>
      <c r="E213" s="91">
        <f>INDEX(Data[FY2026 Early Intervention],MATCH(A213,Data[Label],0))</f>
        <v>77.260000000000005</v>
      </c>
      <c r="F213" s="91">
        <f>INDEX(Data[FY2026 TLC],MATCH(A213,Data[Label],0))</f>
        <v>385.29</v>
      </c>
      <c r="G213" s="182">
        <f t="shared" si="247"/>
        <v>973721</v>
      </c>
      <c r="H213" s="182">
        <f t="shared" si="248"/>
        <v>84812</v>
      </c>
      <c r="I213" s="182">
        <f t="shared" si="249"/>
        <v>85790</v>
      </c>
      <c r="J213" s="182">
        <f t="shared" si="250"/>
        <v>427826</v>
      </c>
      <c r="K213" s="182">
        <f>INDEX(Data[FY2026 TSS Budget Guarantee],MATCH(A213,Data[Label],0))+INDEX(Data[FY2026 PD Budget Guarantee],MATCH(A213,Data[Label],0))+INDEX(Data[FY2026 Early Intervention Budget Guarantee],MATCH(A213,Data[Label],0))+INDEX(Data[FY2026 TLC Budget Gurantee],MATCH(A213,Data[Label],0))</f>
        <v>0</v>
      </c>
      <c r="L213" s="182">
        <f t="shared" si="251"/>
        <v>1572149</v>
      </c>
      <c r="M213" s="181">
        <f>INDEX(Data[FY2027 Budget Enrollment],MATCH(A213,Data[Label],0))+INDEX(Data[FY2027 ESAs],MATCH(A213,Data[Label],0))</f>
        <v>1084.2</v>
      </c>
      <c r="N213" s="91">
        <f t="shared" si="252"/>
        <v>890.6</v>
      </c>
      <c r="O213" s="91">
        <f t="shared" si="253"/>
        <v>77.929999999999993</v>
      </c>
      <c r="P213" s="91">
        <f t="shared" si="254"/>
        <v>78.95</v>
      </c>
      <c r="Q213" s="91">
        <f t="shared" si="255"/>
        <v>393</v>
      </c>
      <c r="R213" s="182">
        <f t="shared" si="263"/>
        <v>965589</v>
      </c>
      <c r="S213" s="182">
        <f t="shared" si="264"/>
        <v>84492</v>
      </c>
      <c r="T213" s="182">
        <f t="shared" si="265"/>
        <v>85598</v>
      </c>
      <c r="U213" s="182">
        <f t="shared" ref="U213" si="275">ROUND($M213*Q213,)</f>
        <v>426091</v>
      </c>
      <c r="V213" s="182">
        <f t="shared" si="257"/>
        <v>10379</v>
      </c>
      <c r="W213" s="182">
        <f t="shared" si="258"/>
        <v>1572149</v>
      </c>
      <c r="X213" s="182">
        <f t="shared" si="259"/>
        <v>0</v>
      </c>
      <c r="Y213" s="183">
        <f t="shared" si="260"/>
        <v>0</v>
      </c>
      <c r="Z213" s="184">
        <f t="shared" si="261"/>
        <v>-26.200000000000045</v>
      </c>
      <c r="AA213" s="185">
        <f t="shared" si="262"/>
        <v>-2.3595100864553353E-2</v>
      </c>
    </row>
    <row r="214" spans="1:27" x14ac:dyDescent="0.55000000000000004">
      <c r="A214" s="230" t="s">
        <v>207</v>
      </c>
      <c r="B214" s="176">
        <f>INDEX(Data[FY2026 Budget Enrollment],MATCH(A214,Data[Label],0))+INDEX(Data[FY2026 ESA],MATCH(A214,Data[Label],0))</f>
        <v>455.8</v>
      </c>
      <c r="C214" s="218">
        <f>INDEX(Data[FY2026 TSS],MATCH(A214,Data[Label],0))</f>
        <v>1295.49</v>
      </c>
      <c r="D214" s="218">
        <f>INDEX(Data[FY2026 PD],MATCH(A214,Data[Label],0))</f>
        <v>79.11</v>
      </c>
      <c r="E214" s="218">
        <f>INDEX(Data[FY2026 Early Intervention],MATCH(A214,Data[Label],0))</f>
        <v>76.61</v>
      </c>
      <c r="F214" s="218">
        <f>INDEX(Data[FY2026 TLC],MATCH(A214,Data[Label],0))</f>
        <v>385.29</v>
      </c>
      <c r="G214" s="177">
        <f t="shared" si="247"/>
        <v>590484</v>
      </c>
      <c r="H214" s="177">
        <f t="shared" si="248"/>
        <v>36058</v>
      </c>
      <c r="I214" s="177">
        <f t="shared" si="249"/>
        <v>34919</v>
      </c>
      <c r="J214" s="177">
        <f t="shared" si="250"/>
        <v>175615</v>
      </c>
      <c r="K214" s="177">
        <f>INDEX(Data[FY2026 TSS Budget Guarantee],MATCH(A214,Data[Label],0))+INDEX(Data[FY2026 PD Budget Guarantee],MATCH(A214,Data[Label],0))+INDEX(Data[FY2026 Early Intervention Budget Guarantee],MATCH(A214,Data[Label],0))+INDEX(Data[FY2026 TLC Budget Gurantee],MATCH(A214,Data[Label],0))</f>
        <v>3648</v>
      </c>
      <c r="L214" s="177">
        <f t="shared" si="251"/>
        <v>840724</v>
      </c>
      <c r="M214" s="176">
        <f>INDEX(Data[FY2027 Budget Enrollment],MATCH(A214,Data[Label],0))+INDEX(Data[FY2027 ESAs],MATCH(A214,Data[Label],0))</f>
        <v>448.2</v>
      </c>
      <c r="N214" s="218">
        <f t="shared" si="252"/>
        <v>1309.18</v>
      </c>
      <c r="O214" s="218">
        <f t="shared" si="253"/>
        <v>80.66</v>
      </c>
      <c r="P214" s="218">
        <f t="shared" si="254"/>
        <v>78.3</v>
      </c>
      <c r="Q214" s="218">
        <f t="shared" si="255"/>
        <v>393</v>
      </c>
      <c r="R214" s="177">
        <f t="shared" si="263"/>
        <v>586774</v>
      </c>
      <c r="S214" s="177">
        <f t="shared" si="264"/>
        <v>36152</v>
      </c>
      <c r="T214" s="177">
        <f t="shared" si="265"/>
        <v>35094</v>
      </c>
      <c r="U214" s="177">
        <f t="shared" ref="U214" si="276">ROUND($M214*Q214,0)</f>
        <v>176143</v>
      </c>
      <c r="V214" s="177">
        <f t="shared" si="257"/>
        <v>3710</v>
      </c>
      <c r="W214" s="177">
        <f t="shared" si="258"/>
        <v>837873</v>
      </c>
      <c r="X214" s="177">
        <f t="shared" si="259"/>
        <v>-2851</v>
      </c>
      <c r="Y214" s="178">
        <f t="shared" si="260"/>
        <v>-3.391124792440801E-3</v>
      </c>
      <c r="Z214" s="179">
        <f t="shared" si="261"/>
        <v>-7.6000000000000227</v>
      </c>
      <c r="AA214" s="180">
        <f t="shared" si="262"/>
        <v>-1.6673979815708694E-2</v>
      </c>
    </row>
    <row r="215" spans="1:27" x14ac:dyDescent="0.55000000000000004">
      <c r="A215" s="229" t="s">
        <v>208</v>
      </c>
      <c r="B215" s="181">
        <f>INDEX(Data[FY2026 Budget Enrollment],MATCH(A215,Data[Label],0))+INDEX(Data[FY2026 ESA],MATCH(A215,Data[Label],0))</f>
        <v>247.5</v>
      </c>
      <c r="C215" s="91">
        <f>INDEX(Data[FY2026 TSS],MATCH(A215,Data[Label],0))</f>
        <v>1468.2</v>
      </c>
      <c r="D215" s="91">
        <f>INDEX(Data[FY2026 PD],MATCH(A215,Data[Label],0))</f>
        <v>78.73</v>
      </c>
      <c r="E215" s="91">
        <f>INDEX(Data[FY2026 Early Intervention],MATCH(A215,Data[Label],0))</f>
        <v>72.61</v>
      </c>
      <c r="F215" s="91">
        <f>INDEX(Data[FY2026 TLC],MATCH(A215,Data[Label],0))</f>
        <v>385.29</v>
      </c>
      <c r="G215" s="182">
        <f t="shared" si="247"/>
        <v>363380</v>
      </c>
      <c r="H215" s="182">
        <f t="shared" si="248"/>
        <v>19486</v>
      </c>
      <c r="I215" s="182">
        <f t="shared" si="249"/>
        <v>17971</v>
      </c>
      <c r="J215" s="182">
        <f t="shared" si="250"/>
        <v>95359</v>
      </c>
      <c r="K215" s="182">
        <f>INDEX(Data[FY2026 TSS Budget Guarantee],MATCH(A215,Data[Label],0))+INDEX(Data[FY2026 PD Budget Guarantee],MATCH(A215,Data[Label],0))+INDEX(Data[FY2026 Early Intervention Budget Guarantee],MATCH(A215,Data[Label],0))+INDEX(Data[FY2026 TLC Budget Gurantee],MATCH(A215,Data[Label],0))</f>
        <v>1393</v>
      </c>
      <c r="L215" s="182">
        <f t="shared" si="251"/>
        <v>497589</v>
      </c>
      <c r="M215" s="181">
        <f>INDEX(Data[FY2027 Budget Enrollment],MATCH(A215,Data[Label],0))+INDEX(Data[FY2027 ESAs],MATCH(A215,Data[Label],0))</f>
        <v>249.1</v>
      </c>
      <c r="N215" s="91">
        <f t="shared" si="252"/>
        <v>1481.89</v>
      </c>
      <c r="O215" s="91">
        <f t="shared" si="253"/>
        <v>80.28</v>
      </c>
      <c r="P215" s="91">
        <f t="shared" si="254"/>
        <v>74.3</v>
      </c>
      <c r="Q215" s="91">
        <f t="shared" si="255"/>
        <v>393</v>
      </c>
      <c r="R215" s="182">
        <f t="shared" si="263"/>
        <v>369139</v>
      </c>
      <c r="S215" s="182">
        <f t="shared" si="264"/>
        <v>19998</v>
      </c>
      <c r="T215" s="182">
        <f t="shared" si="265"/>
        <v>18508</v>
      </c>
      <c r="U215" s="182">
        <f t="shared" ref="U215" si="277">ROUND($M215*Q215,)</f>
        <v>97896</v>
      </c>
      <c r="V215" s="182">
        <f t="shared" si="257"/>
        <v>0</v>
      </c>
      <c r="W215" s="182">
        <f t="shared" si="258"/>
        <v>505541</v>
      </c>
      <c r="X215" s="182">
        <f t="shared" si="259"/>
        <v>7952</v>
      </c>
      <c r="Y215" s="183">
        <f t="shared" si="260"/>
        <v>1.5981060674572788E-2</v>
      </c>
      <c r="Z215" s="184">
        <f t="shared" si="261"/>
        <v>1.5999999999999943</v>
      </c>
      <c r="AA215" s="185">
        <f t="shared" si="262"/>
        <v>6.4646464646464421E-3</v>
      </c>
    </row>
    <row r="216" spans="1:27" x14ac:dyDescent="0.55000000000000004">
      <c r="A216" s="230" t="s">
        <v>209</v>
      </c>
      <c r="B216" s="176">
        <f>INDEX(Data[FY2026 Budget Enrollment],MATCH(A216,Data[Label],0))+INDEX(Data[FY2026 ESA],MATCH(A216,Data[Label],0))</f>
        <v>562.5</v>
      </c>
      <c r="C216" s="218">
        <f>INDEX(Data[FY2026 TSS],MATCH(A216,Data[Label],0))</f>
        <v>960.11</v>
      </c>
      <c r="D216" s="218">
        <f>INDEX(Data[FY2026 PD],MATCH(A216,Data[Label],0))</f>
        <v>71.400000000000006</v>
      </c>
      <c r="E216" s="218">
        <f>INDEX(Data[FY2026 Early Intervention],MATCH(A216,Data[Label],0))</f>
        <v>72.239999999999995</v>
      </c>
      <c r="F216" s="218">
        <f>INDEX(Data[FY2026 TLC],MATCH(A216,Data[Label],0))</f>
        <v>385.29</v>
      </c>
      <c r="G216" s="177">
        <f t="shared" si="247"/>
        <v>540062</v>
      </c>
      <c r="H216" s="177">
        <f t="shared" si="248"/>
        <v>40163</v>
      </c>
      <c r="I216" s="177">
        <f t="shared" si="249"/>
        <v>40635</v>
      </c>
      <c r="J216" s="177">
        <f t="shared" si="250"/>
        <v>216726</v>
      </c>
      <c r="K216" s="177">
        <f>INDEX(Data[FY2026 TSS Budget Guarantee],MATCH(A216,Data[Label],0))+INDEX(Data[FY2026 PD Budget Guarantee],MATCH(A216,Data[Label],0))+INDEX(Data[FY2026 Early Intervention Budget Guarantee],MATCH(A216,Data[Label],0))+INDEX(Data[FY2026 TLC Budget Gurantee],MATCH(A216,Data[Label],0))</f>
        <v>0</v>
      </c>
      <c r="L216" s="177">
        <f t="shared" si="251"/>
        <v>837586</v>
      </c>
      <c r="M216" s="176">
        <f>INDEX(Data[FY2027 Budget Enrollment],MATCH(A216,Data[Label],0))+INDEX(Data[FY2027 ESAs],MATCH(A216,Data[Label],0))</f>
        <v>565.4</v>
      </c>
      <c r="N216" s="218">
        <f t="shared" si="252"/>
        <v>973.80000000000007</v>
      </c>
      <c r="O216" s="218">
        <f t="shared" si="253"/>
        <v>72.95</v>
      </c>
      <c r="P216" s="218">
        <f t="shared" si="254"/>
        <v>73.929999999999993</v>
      </c>
      <c r="Q216" s="218">
        <f t="shared" si="255"/>
        <v>393</v>
      </c>
      <c r="R216" s="177">
        <f t="shared" si="263"/>
        <v>550587</v>
      </c>
      <c r="S216" s="177">
        <f t="shared" si="264"/>
        <v>41246</v>
      </c>
      <c r="T216" s="177">
        <f t="shared" si="265"/>
        <v>41800</v>
      </c>
      <c r="U216" s="177">
        <f t="shared" ref="U216" si="278">ROUND($M216*Q216,0)</f>
        <v>222202</v>
      </c>
      <c r="V216" s="177">
        <f t="shared" si="257"/>
        <v>0</v>
      </c>
      <c r="W216" s="177">
        <f t="shared" si="258"/>
        <v>855835</v>
      </c>
      <c r="X216" s="177">
        <f t="shared" si="259"/>
        <v>18249</v>
      </c>
      <c r="Y216" s="178">
        <f t="shared" si="260"/>
        <v>2.1787613451036671E-2</v>
      </c>
      <c r="Z216" s="179">
        <f t="shared" si="261"/>
        <v>2.8999999999999773</v>
      </c>
      <c r="AA216" s="180">
        <f t="shared" si="262"/>
        <v>5.1555555555555148E-3</v>
      </c>
    </row>
    <row r="217" spans="1:27" x14ac:dyDescent="0.55000000000000004">
      <c r="A217" s="229" t="s">
        <v>210</v>
      </c>
      <c r="B217" s="181">
        <f>INDEX(Data[FY2026 Budget Enrollment],MATCH(A217,Data[Label],0))+INDEX(Data[FY2026 ESA],MATCH(A217,Data[Label],0))</f>
        <v>502.6</v>
      </c>
      <c r="C217" s="91">
        <f>INDEX(Data[FY2026 TSS],MATCH(A217,Data[Label],0))</f>
        <v>1355.8</v>
      </c>
      <c r="D217" s="91">
        <f>INDEX(Data[FY2026 PD],MATCH(A217,Data[Label],0))</f>
        <v>77.28</v>
      </c>
      <c r="E217" s="91">
        <f>INDEX(Data[FY2026 Early Intervention],MATCH(A217,Data[Label],0))</f>
        <v>89.51</v>
      </c>
      <c r="F217" s="91">
        <f>INDEX(Data[FY2026 TLC],MATCH(A217,Data[Label],0))</f>
        <v>385.29</v>
      </c>
      <c r="G217" s="182">
        <f t="shared" si="247"/>
        <v>681425</v>
      </c>
      <c r="H217" s="182">
        <f t="shared" si="248"/>
        <v>38841</v>
      </c>
      <c r="I217" s="182">
        <f t="shared" si="249"/>
        <v>44988</v>
      </c>
      <c r="J217" s="182">
        <f t="shared" si="250"/>
        <v>193647</v>
      </c>
      <c r="K217" s="182">
        <f>INDEX(Data[FY2026 TSS Budget Guarantee],MATCH(A217,Data[Label],0))+INDEX(Data[FY2026 PD Budget Guarantee],MATCH(A217,Data[Label],0))+INDEX(Data[FY2026 Early Intervention Budget Guarantee],MATCH(A217,Data[Label],0))+INDEX(Data[FY2026 TLC Budget Gurantee],MATCH(A217,Data[Label],0))</f>
        <v>0</v>
      </c>
      <c r="L217" s="182">
        <f t="shared" si="251"/>
        <v>958901</v>
      </c>
      <c r="M217" s="181">
        <f>INDEX(Data[FY2027 Budget Enrollment],MATCH(A217,Data[Label],0))+INDEX(Data[FY2027 ESAs],MATCH(A217,Data[Label],0))</f>
        <v>477.6</v>
      </c>
      <c r="N217" s="91">
        <f t="shared" si="252"/>
        <v>1369.49</v>
      </c>
      <c r="O217" s="91">
        <f t="shared" si="253"/>
        <v>78.83</v>
      </c>
      <c r="P217" s="91">
        <f t="shared" si="254"/>
        <v>91.2</v>
      </c>
      <c r="Q217" s="91">
        <f t="shared" si="255"/>
        <v>393</v>
      </c>
      <c r="R217" s="182">
        <f t="shared" si="263"/>
        <v>654068</v>
      </c>
      <c r="S217" s="182">
        <f t="shared" si="264"/>
        <v>37649</v>
      </c>
      <c r="T217" s="182">
        <f t="shared" si="265"/>
        <v>43557</v>
      </c>
      <c r="U217" s="182">
        <f t="shared" ref="U217" si="279">ROUND($M217*Q217,)</f>
        <v>187697</v>
      </c>
      <c r="V217" s="182">
        <f t="shared" si="257"/>
        <v>35930</v>
      </c>
      <c r="W217" s="182">
        <f t="shared" si="258"/>
        <v>958901</v>
      </c>
      <c r="X217" s="182">
        <f t="shared" si="259"/>
        <v>0</v>
      </c>
      <c r="Y217" s="183">
        <f t="shared" si="260"/>
        <v>0</v>
      </c>
      <c r="Z217" s="184">
        <f t="shared" si="261"/>
        <v>-25</v>
      </c>
      <c r="AA217" s="185">
        <f t="shared" si="262"/>
        <v>-4.9741345005968961E-2</v>
      </c>
    </row>
    <row r="218" spans="1:27" x14ac:dyDescent="0.55000000000000004">
      <c r="A218" s="230" t="s">
        <v>211</v>
      </c>
      <c r="B218" s="176">
        <f>INDEX(Data[FY2026 Budget Enrollment],MATCH(A218,Data[Label],0))+INDEX(Data[FY2026 ESA],MATCH(A218,Data[Label],0))</f>
        <v>2223.6999999999998</v>
      </c>
      <c r="C218" s="218">
        <f>INDEX(Data[FY2026 TSS],MATCH(A218,Data[Label],0))</f>
        <v>787.85</v>
      </c>
      <c r="D218" s="218">
        <f>INDEX(Data[FY2026 PD],MATCH(A218,Data[Label],0))</f>
        <v>67.959999999999994</v>
      </c>
      <c r="E218" s="218">
        <f>INDEX(Data[FY2026 Early Intervention],MATCH(A218,Data[Label],0))</f>
        <v>68.19</v>
      </c>
      <c r="F218" s="218">
        <f>INDEX(Data[FY2026 TLC],MATCH(A218,Data[Label],0))</f>
        <v>385.29</v>
      </c>
      <c r="G218" s="177">
        <f t="shared" si="247"/>
        <v>1751942</v>
      </c>
      <c r="H218" s="177">
        <f t="shared" si="248"/>
        <v>151123</v>
      </c>
      <c r="I218" s="177">
        <f t="shared" si="249"/>
        <v>151634</v>
      </c>
      <c r="J218" s="177">
        <f t="shared" si="250"/>
        <v>856769</v>
      </c>
      <c r="K218" s="177">
        <f>INDEX(Data[FY2026 TSS Budget Guarantee],MATCH(A218,Data[Label],0))+INDEX(Data[FY2026 PD Budget Guarantee],MATCH(A218,Data[Label],0))+INDEX(Data[FY2026 Early Intervention Budget Guarantee],MATCH(A218,Data[Label],0))+INDEX(Data[FY2026 TLC Budget Gurantee],MATCH(A218,Data[Label],0))</f>
        <v>0</v>
      </c>
      <c r="L218" s="177">
        <f t="shared" si="251"/>
        <v>2911468</v>
      </c>
      <c r="M218" s="176">
        <f>INDEX(Data[FY2027 Budget Enrollment],MATCH(A218,Data[Label],0))+INDEX(Data[FY2027 ESAs],MATCH(A218,Data[Label],0))</f>
        <v>2223.9</v>
      </c>
      <c r="N218" s="218">
        <f t="shared" si="252"/>
        <v>801.54000000000008</v>
      </c>
      <c r="O218" s="218">
        <f t="shared" si="253"/>
        <v>69.509999999999991</v>
      </c>
      <c r="P218" s="218">
        <f t="shared" si="254"/>
        <v>69.88</v>
      </c>
      <c r="Q218" s="218">
        <f t="shared" si="255"/>
        <v>393</v>
      </c>
      <c r="R218" s="177">
        <f t="shared" si="263"/>
        <v>1782545</v>
      </c>
      <c r="S218" s="177">
        <f t="shared" si="264"/>
        <v>154583</v>
      </c>
      <c r="T218" s="177">
        <f t="shared" si="265"/>
        <v>155406</v>
      </c>
      <c r="U218" s="177">
        <f t="shared" ref="U218" si="280">ROUND($M218*Q218,0)</f>
        <v>873993</v>
      </c>
      <c r="V218" s="177">
        <f t="shared" si="257"/>
        <v>0</v>
      </c>
      <c r="W218" s="177">
        <f t="shared" si="258"/>
        <v>2966527</v>
      </c>
      <c r="X218" s="177">
        <f t="shared" si="259"/>
        <v>55059</v>
      </c>
      <c r="Y218" s="178">
        <f t="shared" si="260"/>
        <v>1.8911078534952126E-2</v>
      </c>
      <c r="Z218" s="179">
        <f t="shared" si="261"/>
        <v>0.20000000000027285</v>
      </c>
      <c r="AA218" s="180">
        <f t="shared" si="262"/>
        <v>8.9940189773923135E-5</v>
      </c>
    </row>
    <row r="219" spans="1:27" x14ac:dyDescent="0.55000000000000004">
      <c r="A219" s="229" t="s">
        <v>212</v>
      </c>
      <c r="B219" s="181">
        <f>INDEX(Data[FY2026 Budget Enrollment],MATCH(A219,Data[Label],0))+INDEX(Data[FY2026 ESA],MATCH(A219,Data[Label],0))</f>
        <v>3032.3</v>
      </c>
      <c r="C219" s="91">
        <f>INDEX(Data[FY2026 TSS],MATCH(A219,Data[Label],0))</f>
        <v>790.76</v>
      </c>
      <c r="D219" s="91">
        <f>INDEX(Data[FY2026 PD],MATCH(A219,Data[Label],0))</f>
        <v>75.819999999999993</v>
      </c>
      <c r="E219" s="91">
        <f>INDEX(Data[FY2026 Early Intervention],MATCH(A219,Data[Label],0))</f>
        <v>74.569999999999993</v>
      </c>
      <c r="F219" s="91">
        <f>INDEX(Data[FY2026 TLC],MATCH(A219,Data[Label],0))</f>
        <v>385.29</v>
      </c>
      <c r="G219" s="182">
        <f t="shared" si="247"/>
        <v>2397822</v>
      </c>
      <c r="H219" s="182">
        <f t="shared" si="248"/>
        <v>229909</v>
      </c>
      <c r="I219" s="182">
        <f t="shared" si="249"/>
        <v>226119</v>
      </c>
      <c r="J219" s="182">
        <f t="shared" si="250"/>
        <v>1168315</v>
      </c>
      <c r="K219" s="182">
        <f>INDEX(Data[FY2026 TSS Budget Guarantee],MATCH(A219,Data[Label],0))+INDEX(Data[FY2026 PD Budget Guarantee],MATCH(A219,Data[Label],0))+INDEX(Data[FY2026 Early Intervention Budget Guarantee],MATCH(A219,Data[Label],0))+INDEX(Data[FY2026 TLC Budget Gurantee],MATCH(A219,Data[Label],0))</f>
        <v>0</v>
      </c>
      <c r="L219" s="182">
        <f t="shared" si="251"/>
        <v>4022165</v>
      </c>
      <c r="M219" s="181">
        <f>INDEX(Data[FY2027 Budget Enrollment],MATCH(A219,Data[Label],0))+INDEX(Data[FY2027 ESAs],MATCH(A219,Data[Label],0))</f>
        <v>3015.1</v>
      </c>
      <c r="N219" s="91">
        <f t="shared" si="252"/>
        <v>804.45</v>
      </c>
      <c r="O219" s="91">
        <f t="shared" si="253"/>
        <v>77.36999999999999</v>
      </c>
      <c r="P219" s="91">
        <f t="shared" si="254"/>
        <v>76.259999999999991</v>
      </c>
      <c r="Q219" s="91">
        <f t="shared" si="255"/>
        <v>393</v>
      </c>
      <c r="R219" s="182">
        <f t="shared" si="263"/>
        <v>2425497</v>
      </c>
      <c r="S219" s="182">
        <f t="shared" si="264"/>
        <v>233278</v>
      </c>
      <c r="T219" s="182">
        <f t="shared" si="265"/>
        <v>229932</v>
      </c>
      <c r="U219" s="182">
        <f t="shared" ref="U219" si="281">ROUND($M219*Q219,)</f>
        <v>1184934</v>
      </c>
      <c r="V219" s="182">
        <f t="shared" si="257"/>
        <v>0</v>
      </c>
      <c r="W219" s="182">
        <f t="shared" si="258"/>
        <v>4073641</v>
      </c>
      <c r="X219" s="182">
        <f t="shared" si="259"/>
        <v>51476</v>
      </c>
      <c r="Y219" s="183">
        <f t="shared" si="260"/>
        <v>1.2798082624656124E-2</v>
      </c>
      <c r="Z219" s="184">
        <f t="shared" si="261"/>
        <v>-17.200000000000273</v>
      </c>
      <c r="AA219" s="185">
        <f t="shared" si="262"/>
        <v>-5.6722619793556943E-3</v>
      </c>
    </row>
    <row r="220" spans="1:27" x14ac:dyDescent="0.55000000000000004">
      <c r="A220" s="230" t="s">
        <v>213</v>
      </c>
      <c r="B220" s="176">
        <f>INDEX(Data[FY2026 Budget Enrollment],MATCH(A220,Data[Label],0))+INDEX(Data[FY2026 ESA],MATCH(A220,Data[Label],0))</f>
        <v>454.1</v>
      </c>
      <c r="C220" s="218">
        <f>INDEX(Data[FY2026 TSS],MATCH(A220,Data[Label],0))</f>
        <v>1223.49</v>
      </c>
      <c r="D220" s="218">
        <f>INDEX(Data[FY2026 PD],MATCH(A220,Data[Label],0))</f>
        <v>80.53</v>
      </c>
      <c r="E220" s="218">
        <f>INDEX(Data[FY2026 Early Intervention],MATCH(A220,Data[Label],0))</f>
        <v>77.86</v>
      </c>
      <c r="F220" s="218">
        <f>INDEX(Data[FY2026 TLC],MATCH(A220,Data[Label],0))</f>
        <v>385.29</v>
      </c>
      <c r="G220" s="177">
        <f t="shared" si="247"/>
        <v>555587</v>
      </c>
      <c r="H220" s="177">
        <f t="shared" si="248"/>
        <v>36569</v>
      </c>
      <c r="I220" s="177">
        <f t="shared" si="249"/>
        <v>35356</v>
      </c>
      <c r="J220" s="177">
        <f t="shared" si="250"/>
        <v>174960</v>
      </c>
      <c r="K220" s="177">
        <f>INDEX(Data[FY2026 TSS Budget Guarantee],MATCH(A220,Data[Label],0))+INDEX(Data[FY2026 PD Budget Guarantee],MATCH(A220,Data[Label],0))+INDEX(Data[FY2026 Early Intervention Budget Guarantee],MATCH(A220,Data[Label],0))+INDEX(Data[FY2026 TLC Budget Gurantee],MATCH(A220,Data[Label],0))</f>
        <v>0</v>
      </c>
      <c r="L220" s="177">
        <f t="shared" si="251"/>
        <v>802472</v>
      </c>
      <c r="M220" s="176">
        <f>INDEX(Data[FY2027 Budget Enrollment],MATCH(A220,Data[Label],0))+INDEX(Data[FY2027 ESAs],MATCH(A220,Data[Label],0))</f>
        <v>467.3</v>
      </c>
      <c r="N220" s="218">
        <f t="shared" si="252"/>
        <v>1237.18</v>
      </c>
      <c r="O220" s="218">
        <f t="shared" si="253"/>
        <v>82.08</v>
      </c>
      <c r="P220" s="218">
        <f t="shared" si="254"/>
        <v>79.55</v>
      </c>
      <c r="Q220" s="218">
        <f t="shared" si="255"/>
        <v>393</v>
      </c>
      <c r="R220" s="177">
        <f t="shared" si="263"/>
        <v>578134</v>
      </c>
      <c r="S220" s="177">
        <f t="shared" si="264"/>
        <v>38356</v>
      </c>
      <c r="T220" s="177">
        <f t="shared" si="265"/>
        <v>37174</v>
      </c>
      <c r="U220" s="177">
        <f t="shared" ref="U220" si="282">ROUND($M220*Q220,0)</f>
        <v>183649</v>
      </c>
      <c r="V220" s="177">
        <f t="shared" si="257"/>
        <v>0</v>
      </c>
      <c r="W220" s="177">
        <f t="shared" si="258"/>
        <v>837313</v>
      </c>
      <c r="X220" s="177">
        <f t="shared" si="259"/>
        <v>34841</v>
      </c>
      <c r="Y220" s="178">
        <f t="shared" si="260"/>
        <v>4.3417091188228375E-2</v>
      </c>
      <c r="Z220" s="179">
        <f t="shared" si="261"/>
        <v>13.199999999999989</v>
      </c>
      <c r="AA220" s="180">
        <f t="shared" si="262"/>
        <v>2.9068487117375003E-2</v>
      </c>
    </row>
    <row r="221" spans="1:27" x14ac:dyDescent="0.55000000000000004">
      <c r="A221" s="229" t="s">
        <v>214</v>
      </c>
      <c r="B221" s="181">
        <f>INDEX(Data[FY2026 Budget Enrollment],MATCH(A221,Data[Label],0))+INDEX(Data[FY2026 ESA],MATCH(A221,Data[Label],0))</f>
        <v>402</v>
      </c>
      <c r="C221" s="91">
        <f>INDEX(Data[FY2026 TSS],MATCH(A221,Data[Label],0))</f>
        <v>1317.12</v>
      </c>
      <c r="D221" s="91">
        <f>INDEX(Data[FY2026 PD],MATCH(A221,Data[Label],0))</f>
        <v>88.07</v>
      </c>
      <c r="E221" s="91">
        <f>INDEX(Data[FY2026 Early Intervention],MATCH(A221,Data[Label],0))</f>
        <v>95.03</v>
      </c>
      <c r="F221" s="91">
        <f>INDEX(Data[FY2026 TLC],MATCH(A221,Data[Label],0))</f>
        <v>385.29</v>
      </c>
      <c r="G221" s="182">
        <f t="shared" si="247"/>
        <v>529482</v>
      </c>
      <c r="H221" s="182">
        <f t="shared" si="248"/>
        <v>35404</v>
      </c>
      <c r="I221" s="182">
        <f t="shared" si="249"/>
        <v>38202</v>
      </c>
      <c r="J221" s="182">
        <f t="shared" si="250"/>
        <v>154887</v>
      </c>
      <c r="K221" s="182">
        <f>INDEX(Data[FY2026 TSS Budget Guarantee],MATCH(A221,Data[Label],0))+INDEX(Data[FY2026 PD Budget Guarantee],MATCH(A221,Data[Label],0))+INDEX(Data[FY2026 Early Intervention Budget Guarantee],MATCH(A221,Data[Label],0))+INDEX(Data[FY2026 TLC Budget Gurantee],MATCH(A221,Data[Label],0))</f>
        <v>0</v>
      </c>
      <c r="L221" s="182">
        <f t="shared" si="251"/>
        <v>757975</v>
      </c>
      <c r="M221" s="181">
        <f>INDEX(Data[FY2027 Budget Enrollment],MATCH(A221,Data[Label],0))+INDEX(Data[FY2027 ESAs],MATCH(A221,Data[Label],0))</f>
        <v>387</v>
      </c>
      <c r="N221" s="91">
        <f t="shared" si="252"/>
        <v>1330.81</v>
      </c>
      <c r="O221" s="91">
        <f t="shared" si="253"/>
        <v>89.61999999999999</v>
      </c>
      <c r="P221" s="91">
        <f t="shared" si="254"/>
        <v>96.72</v>
      </c>
      <c r="Q221" s="91">
        <f t="shared" si="255"/>
        <v>393</v>
      </c>
      <c r="R221" s="182">
        <f t="shared" si="263"/>
        <v>515023</v>
      </c>
      <c r="S221" s="182">
        <f t="shared" si="264"/>
        <v>34683</v>
      </c>
      <c r="T221" s="182">
        <f t="shared" si="265"/>
        <v>37431</v>
      </c>
      <c r="U221" s="182">
        <f t="shared" ref="U221" si="283">ROUND($M221*Q221,)</f>
        <v>152091</v>
      </c>
      <c r="V221" s="182">
        <f t="shared" si="257"/>
        <v>18747</v>
      </c>
      <c r="W221" s="182">
        <f t="shared" si="258"/>
        <v>757975</v>
      </c>
      <c r="X221" s="182">
        <f t="shared" si="259"/>
        <v>0</v>
      </c>
      <c r="Y221" s="183">
        <f t="shared" si="260"/>
        <v>0</v>
      </c>
      <c r="Z221" s="184">
        <f t="shared" si="261"/>
        <v>-15</v>
      </c>
      <c r="AA221" s="185">
        <f t="shared" si="262"/>
        <v>-3.7313432835820892E-2</v>
      </c>
    </row>
    <row r="222" spans="1:27" x14ac:dyDescent="0.55000000000000004">
      <c r="A222" s="230" t="s">
        <v>215</v>
      </c>
      <c r="B222" s="176">
        <f>INDEX(Data[FY2026 Budget Enrollment],MATCH(A222,Data[Label],0))+INDEX(Data[FY2026 ESA],MATCH(A222,Data[Label],0))</f>
        <v>492</v>
      </c>
      <c r="C222" s="218">
        <f>INDEX(Data[FY2026 TSS],MATCH(A222,Data[Label],0))</f>
        <v>1507.51</v>
      </c>
      <c r="D222" s="218">
        <f>INDEX(Data[FY2026 PD],MATCH(A222,Data[Label],0))</f>
        <v>82.71</v>
      </c>
      <c r="E222" s="218">
        <f>INDEX(Data[FY2026 Early Intervention],MATCH(A222,Data[Label],0))</f>
        <v>88.86</v>
      </c>
      <c r="F222" s="218">
        <f>INDEX(Data[FY2026 TLC],MATCH(A222,Data[Label],0))</f>
        <v>385.29</v>
      </c>
      <c r="G222" s="177">
        <f t="shared" si="247"/>
        <v>741695</v>
      </c>
      <c r="H222" s="177">
        <f t="shared" si="248"/>
        <v>40693</v>
      </c>
      <c r="I222" s="177">
        <f t="shared" si="249"/>
        <v>43719</v>
      </c>
      <c r="J222" s="177">
        <f t="shared" si="250"/>
        <v>189563</v>
      </c>
      <c r="K222" s="177">
        <f>INDEX(Data[FY2026 TSS Budget Guarantee],MATCH(A222,Data[Label],0))+INDEX(Data[FY2026 PD Budget Guarantee],MATCH(A222,Data[Label],0))+INDEX(Data[FY2026 Early Intervention Budget Guarantee],MATCH(A222,Data[Label],0))+INDEX(Data[FY2026 TLC Budget Gurantee],MATCH(A222,Data[Label],0))</f>
        <v>2695</v>
      </c>
      <c r="L222" s="177">
        <f t="shared" si="251"/>
        <v>1018365</v>
      </c>
      <c r="M222" s="176">
        <f>INDEX(Data[FY2027 Budget Enrollment],MATCH(A222,Data[Label],0))+INDEX(Data[FY2027 ESAs],MATCH(A222,Data[Label],0))</f>
        <v>473.2</v>
      </c>
      <c r="N222" s="218">
        <f t="shared" si="252"/>
        <v>1521.2</v>
      </c>
      <c r="O222" s="218">
        <f t="shared" si="253"/>
        <v>84.259999999999991</v>
      </c>
      <c r="P222" s="218">
        <f t="shared" si="254"/>
        <v>90.55</v>
      </c>
      <c r="Q222" s="218">
        <f t="shared" si="255"/>
        <v>393</v>
      </c>
      <c r="R222" s="177">
        <f t="shared" si="263"/>
        <v>719832</v>
      </c>
      <c r="S222" s="177">
        <f t="shared" si="264"/>
        <v>39872</v>
      </c>
      <c r="T222" s="177">
        <f t="shared" si="265"/>
        <v>42848</v>
      </c>
      <c r="U222" s="177">
        <f t="shared" ref="U222" si="284">ROUND($M222*Q222,0)</f>
        <v>185968</v>
      </c>
      <c r="V222" s="177">
        <f t="shared" si="257"/>
        <v>27150</v>
      </c>
      <c r="W222" s="177">
        <f t="shared" si="258"/>
        <v>1015670</v>
      </c>
      <c r="X222" s="177">
        <f t="shared" si="259"/>
        <v>-2695</v>
      </c>
      <c r="Y222" s="178">
        <f t="shared" si="260"/>
        <v>-2.6463988844864072E-3</v>
      </c>
      <c r="Z222" s="179">
        <f t="shared" si="261"/>
        <v>-18.800000000000011</v>
      </c>
      <c r="AA222" s="180">
        <f t="shared" si="262"/>
        <v>-3.8211382113821163E-2</v>
      </c>
    </row>
    <row r="223" spans="1:27" x14ac:dyDescent="0.55000000000000004">
      <c r="A223" s="229" t="s">
        <v>216</v>
      </c>
      <c r="B223" s="181">
        <f>INDEX(Data[FY2026 Budget Enrollment],MATCH(A223,Data[Label],0))+INDEX(Data[FY2026 ESA],MATCH(A223,Data[Label],0))</f>
        <v>489.6</v>
      </c>
      <c r="C223" s="91">
        <f>INDEX(Data[FY2026 TSS],MATCH(A223,Data[Label],0))</f>
        <v>1081.75</v>
      </c>
      <c r="D223" s="91">
        <f>INDEX(Data[FY2026 PD],MATCH(A223,Data[Label],0))</f>
        <v>77.69</v>
      </c>
      <c r="E223" s="91">
        <f>INDEX(Data[FY2026 Early Intervention],MATCH(A223,Data[Label],0))</f>
        <v>69.650000000000006</v>
      </c>
      <c r="F223" s="91">
        <f>INDEX(Data[FY2026 TLC],MATCH(A223,Data[Label],0))</f>
        <v>385.29</v>
      </c>
      <c r="G223" s="182">
        <f t="shared" si="247"/>
        <v>529625</v>
      </c>
      <c r="H223" s="182">
        <f t="shared" si="248"/>
        <v>38037</v>
      </c>
      <c r="I223" s="182">
        <f t="shared" si="249"/>
        <v>34101</v>
      </c>
      <c r="J223" s="182">
        <f t="shared" si="250"/>
        <v>188638</v>
      </c>
      <c r="K223" s="182">
        <f>INDEX(Data[FY2026 TSS Budget Guarantee],MATCH(A223,Data[Label],0))+INDEX(Data[FY2026 PD Budget Guarantee],MATCH(A223,Data[Label],0))+INDEX(Data[FY2026 Early Intervention Budget Guarantee],MATCH(A223,Data[Label],0))+INDEX(Data[FY2026 TLC Budget Gurantee],MATCH(A223,Data[Label],0))</f>
        <v>6751</v>
      </c>
      <c r="L223" s="182">
        <f t="shared" si="251"/>
        <v>797152</v>
      </c>
      <c r="M223" s="181">
        <f>INDEX(Data[FY2027 Budget Enrollment],MATCH(A223,Data[Label],0))+INDEX(Data[FY2027 ESAs],MATCH(A223,Data[Label],0))</f>
        <v>512.6</v>
      </c>
      <c r="N223" s="91">
        <f t="shared" si="252"/>
        <v>1095.44</v>
      </c>
      <c r="O223" s="91">
        <f t="shared" si="253"/>
        <v>79.239999999999995</v>
      </c>
      <c r="P223" s="91">
        <f t="shared" si="254"/>
        <v>71.34</v>
      </c>
      <c r="Q223" s="91">
        <f t="shared" si="255"/>
        <v>393</v>
      </c>
      <c r="R223" s="182">
        <f t="shared" si="263"/>
        <v>561523</v>
      </c>
      <c r="S223" s="182">
        <f t="shared" si="264"/>
        <v>40618</v>
      </c>
      <c r="T223" s="182">
        <f t="shared" si="265"/>
        <v>36569</v>
      </c>
      <c r="U223" s="182">
        <f t="shared" ref="U223" si="285">ROUND($M223*Q223,)</f>
        <v>201452</v>
      </c>
      <c r="V223" s="182">
        <f t="shared" si="257"/>
        <v>0</v>
      </c>
      <c r="W223" s="182">
        <f t="shared" si="258"/>
        <v>840162</v>
      </c>
      <c r="X223" s="182">
        <f t="shared" si="259"/>
        <v>43010</v>
      </c>
      <c r="Y223" s="183">
        <f t="shared" si="260"/>
        <v>5.3954578298743526E-2</v>
      </c>
      <c r="Z223" s="184">
        <f t="shared" si="261"/>
        <v>23</v>
      </c>
      <c r="AA223" s="185">
        <f t="shared" si="262"/>
        <v>4.6977124183006536E-2</v>
      </c>
    </row>
    <row r="224" spans="1:27" x14ac:dyDescent="0.55000000000000004">
      <c r="A224" s="230" t="s">
        <v>217</v>
      </c>
      <c r="B224" s="176">
        <f>INDEX(Data[FY2026 Budget Enrollment],MATCH(A224,Data[Label],0))+INDEX(Data[FY2026 ESA],MATCH(A224,Data[Label],0))</f>
        <v>3554.2</v>
      </c>
      <c r="C224" s="218">
        <f>INDEX(Data[FY2026 TSS],MATCH(A224,Data[Label],0))</f>
        <v>762.61</v>
      </c>
      <c r="D224" s="218">
        <f>INDEX(Data[FY2026 PD],MATCH(A224,Data[Label],0))</f>
        <v>73.16</v>
      </c>
      <c r="E224" s="218">
        <f>INDEX(Data[FY2026 Early Intervention],MATCH(A224,Data[Label],0))</f>
        <v>74.06</v>
      </c>
      <c r="F224" s="218">
        <f>INDEX(Data[FY2026 TLC],MATCH(A224,Data[Label],0))</f>
        <v>385.29</v>
      </c>
      <c r="G224" s="177">
        <f t="shared" si="247"/>
        <v>2710468</v>
      </c>
      <c r="H224" s="177">
        <f t="shared" si="248"/>
        <v>260025</v>
      </c>
      <c r="I224" s="177">
        <f t="shared" si="249"/>
        <v>263224</v>
      </c>
      <c r="J224" s="177">
        <f t="shared" si="250"/>
        <v>1369398</v>
      </c>
      <c r="K224" s="177">
        <f>INDEX(Data[FY2026 TSS Budget Guarantee],MATCH(A224,Data[Label],0))+INDEX(Data[FY2026 PD Budget Guarantee],MATCH(A224,Data[Label],0))+INDEX(Data[FY2026 Early Intervention Budget Guarantee],MATCH(A224,Data[Label],0))+INDEX(Data[FY2026 TLC Budget Gurantee],MATCH(A224,Data[Label],0))</f>
        <v>0</v>
      </c>
      <c r="L224" s="177">
        <f t="shared" si="251"/>
        <v>4603115</v>
      </c>
      <c r="M224" s="176">
        <f>INDEX(Data[FY2027 Budget Enrollment],MATCH(A224,Data[Label],0))+INDEX(Data[FY2027 ESAs],MATCH(A224,Data[Label],0))</f>
        <v>3701.8</v>
      </c>
      <c r="N224" s="218">
        <f t="shared" si="252"/>
        <v>776.30000000000007</v>
      </c>
      <c r="O224" s="218">
        <f t="shared" si="253"/>
        <v>74.709999999999994</v>
      </c>
      <c r="P224" s="218">
        <f t="shared" si="254"/>
        <v>75.75</v>
      </c>
      <c r="Q224" s="218">
        <f t="shared" si="255"/>
        <v>393</v>
      </c>
      <c r="R224" s="177">
        <f t="shared" si="263"/>
        <v>2873707</v>
      </c>
      <c r="S224" s="177">
        <f t="shared" si="264"/>
        <v>276561</v>
      </c>
      <c r="T224" s="177">
        <f t="shared" si="265"/>
        <v>280411</v>
      </c>
      <c r="U224" s="177">
        <f t="shared" ref="U224" si="286">ROUND($M224*Q224,0)</f>
        <v>1454807</v>
      </c>
      <c r="V224" s="177">
        <f t="shared" si="257"/>
        <v>0</v>
      </c>
      <c r="W224" s="177">
        <f t="shared" si="258"/>
        <v>4885486</v>
      </c>
      <c r="X224" s="177">
        <f t="shared" si="259"/>
        <v>282371</v>
      </c>
      <c r="Y224" s="178">
        <f t="shared" si="260"/>
        <v>6.1343459809281325E-2</v>
      </c>
      <c r="Z224" s="179">
        <f t="shared" si="261"/>
        <v>147.60000000000036</v>
      </c>
      <c r="AA224" s="180">
        <f t="shared" si="262"/>
        <v>4.1528332676833146E-2</v>
      </c>
    </row>
    <row r="225" spans="1:27" x14ac:dyDescent="0.55000000000000004">
      <c r="A225" s="229" t="s">
        <v>218</v>
      </c>
      <c r="B225" s="181">
        <f>INDEX(Data[FY2026 Budget Enrollment],MATCH(A225,Data[Label],0))+INDEX(Data[FY2026 ESA],MATCH(A225,Data[Label],0))</f>
        <v>927</v>
      </c>
      <c r="C225" s="91">
        <f>INDEX(Data[FY2026 TSS],MATCH(A225,Data[Label],0))</f>
        <v>958.54</v>
      </c>
      <c r="D225" s="91">
        <f>INDEX(Data[FY2026 PD],MATCH(A225,Data[Label],0))</f>
        <v>83.7</v>
      </c>
      <c r="E225" s="91">
        <f>INDEX(Data[FY2026 Early Intervention],MATCH(A225,Data[Label],0))</f>
        <v>79.150000000000006</v>
      </c>
      <c r="F225" s="91">
        <f>INDEX(Data[FY2026 TLC],MATCH(A225,Data[Label],0))</f>
        <v>385.29</v>
      </c>
      <c r="G225" s="182">
        <f t="shared" si="247"/>
        <v>888567</v>
      </c>
      <c r="H225" s="182">
        <f t="shared" si="248"/>
        <v>77590</v>
      </c>
      <c r="I225" s="182">
        <f t="shared" si="249"/>
        <v>73372</v>
      </c>
      <c r="J225" s="182">
        <f t="shared" si="250"/>
        <v>357164</v>
      </c>
      <c r="K225" s="182">
        <f>INDEX(Data[FY2026 TSS Budget Guarantee],MATCH(A225,Data[Label],0))+INDEX(Data[FY2026 PD Budget Guarantee],MATCH(A225,Data[Label],0))+INDEX(Data[FY2026 Early Intervention Budget Guarantee],MATCH(A225,Data[Label],0))+INDEX(Data[FY2026 TLC Budget Gurantee],MATCH(A225,Data[Label],0))</f>
        <v>0</v>
      </c>
      <c r="L225" s="182">
        <f t="shared" si="251"/>
        <v>1396693</v>
      </c>
      <c r="M225" s="181">
        <f>INDEX(Data[FY2027 Budget Enrollment],MATCH(A225,Data[Label],0))+INDEX(Data[FY2027 ESAs],MATCH(A225,Data[Label],0))</f>
        <v>896.2</v>
      </c>
      <c r="N225" s="91">
        <f t="shared" si="252"/>
        <v>972.23</v>
      </c>
      <c r="O225" s="91">
        <f t="shared" si="253"/>
        <v>85.25</v>
      </c>
      <c r="P225" s="91">
        <f t="shared" si="254"/>
        <v>80.84</v>
      </c>
      <c r="Q225" s="91">
        <f t="shared" si="255"/>
        <v>393</v>
      </c>
      <c r="R225" s="182">
        <f t="shared" si="263"/>
        <v>871313</v>
      </c>
      <c r="S225" s="182">
        <f t="shared" si="264"/>
        <v>76401</v>
      </c>
      <c r="T225" s="182">
        <f t="shared" si="265"/>
        <v>72449</v>
      </c>
      <c r="U225" s="182">
        <f t="shared" ref="U225" si="287">ROUND($M225*Q225,)</f>
        <v>352207</v>
      </c>
      <c r="V225" s="182">
        <f t="shared" si="257"/>
        <v>24323</v>
      </c>
      <c r="W225" s="182">
        <f t="shared" si="258"/>
        <v>1396693</v>
      </c>
      <c r="X225" s="182">
        <f t="shared" si="259"/>
        <v>0</v>
      </c>
      <c r="Y225" s="183">
        <f t="shared" si="260"/>
        <v>0</v>
      </c>
      <c r="Z225" s="184">
        <f t="shared" si="261"/>
        <v>-30.799999999999955</v>
      </c>
      <c r="AA225" s="185">
        <f t="shared" si="262"/>
        <v>-3.3225458468176865E-2</v>
      </c>
    </row>
    <row r="226" spans="1:27" x14ac:dyDescent="0.55000000000000004">
      <c r="A226" s="230" t="s">
        <v>219</v>
      </c>
      <c r="B226" s="176">
        <f>INDEX(Data[FY2026 Budget Enrollment],MATCH(A226,Data[Label],0))+INDEX(Data[FY2026 ESA],MATCH(A226,Data[Label],0))</f>
        <v>1279.8</v>
      </c>
      <c r="C226" s="218">
        <f>INDEX(Data[FY2026 TSS],MATCH(A226,Data[Label],0))</f>
        <v>849.08</v>
      </c>
      <c r="D226" s="218">
        <f>INDEX(Data[FY2026 PD],MATCH(A226,Data[Label],0))</f>
        <v>79.41</v>
      </c>
      <c r="E226" s="218">
        <f>INDEX(Data[FY2026 Early Intervention],MATCH(A226,Data[Label],0))</f>
        <v>81.55</v>
      </c>
      <c r="F226" s="218">
        <f>INDEX(Data[FY2026 TLC],MATCH(A226,Data[Label],0))</f>
        <v>385.29</v>
      </c>
      <c r="G226" s="177">
        <f t="shared" si="247"/>
        <v>1086653</v>
      </c>
      <c r="H226" s="177">
        <f t="shared" si="248"/>
        <v>101629</v>
      </c>
      <c r="I226" s="177">
        <f t="shared" si="249"/>
        <v>104368</v>
      </c>
      <c r="J226" s="177">
        <f t="shared" si="250"/>
        <v>493094</v>
      </c>
      <c r="K226" s="177">
        <f>INDEX(Data[FY2026 TSS Budget Guarantee],MATCH(A226,Data[Label],0))+INDEX(Data[FY2026 PD Budget Guarantee],MATCH(A226,Data[Label],0))+INDEX(Data[FY2026 Early Intervention Budget Guarantee],MATCH(A226,Data[Label],0))+INDEX(Data[FY2026 TLC Budget Gurantee],MATCH(A226,Data[Label],0))</f>
        <v>11490</v>
      </c>
      <c r="L226" s="177">
        <f t="shared" si="251"/>
        <v>1797234</v>
      </c>
      <c r="M226" s="176">
        <f>INDEX(Data[FY2027 Budget Enrollment],MATCH(A226,Data[Label],0))+INDEX(Data[FY2027 ESAs],MATCH(A226,Data[Label],0))</f>
        <v>1237</v>
      </c>
      <c r="N226" s="218">
        <f t="shared" si="252"/>
        <v>862.7700000000001</v>
      </c>
      <c r="O226" s="218">
        <f t="shared" si="253"/>
        <v>80.959999999999994</v>
      </c>
      <c r="P226" s="218">
        <f t="shared" si="254"/>
        <v>83.24</v>
      </c>
      <c r="Q226" s="218">
        <f t="shared" si="255"/>
        <v>393</v>
      </c>
      <c r="R226" s="177">
        <f t="shared" si="263"/>
        <v>1067246</v>
      </c>
      <c r="S226" s="177">
        <f t="shared" si="264"/>
        <v>100148</v>
      </c>
      <c r="T226" s="177">
        <f t="shared" si="265"/>
        <v>102968</v>
      </c>
      <c r="U226" s="177">
        <f t="shared" ref="U226" si="288">ROUND($M226*Q226,0)</f>
        <v>486141</v>
      </c>
      <c r="V226" s="177">
        <f t="shared" si="257"/>
        <v>29241</v>
      </c>
      <c r="W226" s="177">
        <f t="shared" si="258"/>
        <v>1785744</v>
      </c>
      <c r="X226" s="177">
        <f t="shared" si="259"/>
        <v>-11490</v>
      </c>
      <c r="Y226" s="178">
        <f t="shared" si="260"/>
        <v>-6.3931574853357993E-3</v>
      </c>
      <c r="Z226" s="179">
        <f t="shared" si="261"/>
        <v>-42.799999999999955</v>
      </c>
      <c r="AA226" s="180">
        <f t="shared" si="262"/>
        <v>-3.3442725425847752E-2</v>
      </c>
    </row>
    <row r="227" spans="1:27" x14ac:dyDescent="0.55000000000000004">
      <c r="A227" s="229" t="s">
        <v>220</v>
      </c>
      <c r="B227" s="181">
        <f>INDEX(Data[FY2026 Budget Enrollment],MATCH(A227,Data[Label],0))+INDEX(Data[FY2026 ESA],MATCH(A227,Data[Label],0))</f>
        <v>565</v>
      </c>
      <c r="C227" s="91">
        <f>INDEX(Data[FY2026 TSS],MATCH(A227,Data[Label],0))</f>
        <v>1060.1099999999999</v>
      </c>
      <c r="D227" s="91">
        <f>INDEX(Data[FY2026 PD],MATCH(A227,Data[Label],0))</f>
        <v>77.38</v>
      </c>
      <c r="E227" s="91">
        <f>INDEX(Data[FY2026 Early Intervention],MATCH(A227,Data[Label],0))</f>
        <v>77.42</v>
      </c>
      <c r="F227" s="91">
        <f>INDEX(Data[FY2026 TLC],MATCH(A227,Data[Label],0))</f>
        <v>385.29</v>
      </c>
      <c r="G227" s="182">
        <f t="shared" si="247"/>
        <v>598962</v>
      </c>
      <c r="H227" s="182">
        <f t="shared" si="248"/>
        <v>43720</v>
      </c>
      <c r="I227" s="182">
        <f t="shared" si="249"/>
        <v>43742</v>
      </c>
      <c r="J227" s="182">
        <f t="shared" si="250"/>
        <v>217689</v>
      </c>
      <c r="K227" s="182">
        <f>INDEX(Data[FY2026 TSS Budget Guarantee],MATCH(A227,Data[Label],0))+INDEX(Data[FY2026 PD Budget Guarantee],MATCH(A227,Data[Label],0))+INDEX(Data[FY2026 Early Intervention Budget Guarantee],MATCH(A227,Data[Label],0))+INDEX(Data[FY2026 TLC Budget Gurantee],MATCH(A227,Data[Label],0))</f>
        <v>11565</v>
      </c>
      <c r="L227" s="182">
        <f t="shared" si="251"/>
        <v>915678</v>
      </c>
      <c r="M227" s="181">
        <f>INDEX(Data[FY2027 Budget Enrollment],MATCH(A227,Data[Label],0))+INDEX(Data[FY2027 ESAs],MATCH(A227,Data[Label],0))</f>
        <v>545.20000000000005</v>
      </c>
      <c r="N227" s="91">
        <f t="shared" si="252"/>
        <v>1073.8</v>
      </c>
      <c r="O227" s="91">
        <f t="shared" si="253"/>
        <v>78.929999999999993</v>
      </c>
      <c r="P227" s="91">
        <f t="shared" si="254"/>
        <v>79.11</v>
      </c>
      <c r="Q227" s="91">
        <f t="shared" si="255"/>
        <v>393</v>
      </c>
      <c r="R227" s="182">
        <f t="shared" si="263"/>
        <v>585436</v>
      </c>
      <c r="S227" s="182">
        <f t="shared" si="264"/>
        <v>43033</v>
      </c>
      <c r="T227" s="182">
        <f t="shared" si="265"/>
        <v>43131</v>
      </c>
      <c r="U227" s="182">
        <f t="shared" ref="U227" si="289">ROUND($M227*Q227,)</f>
        <v>214264</v>
      </c>
      <c r="V227" s="182">
        <f t="shared" si="257"/>
        <v>18249</v>
      </c>
      <c r="W227" s="182">
        <f t="shared" si="258"/>
        <v>904113</v>
      </c>
      <c r="X227" s="182">
        <f t="shared" si="259"/>
        <v>-11565</v>
      </c>
      <c r="Y227" s="183">
        <f t="shared" si="260"/>
        <v>-1.2629985649977395E-2</v>
      </c>
      <c r="Z227" s="184">
        <f t="shared" si="261"/>
        <v>-19.799999999999955</v>
      </c>
      <c r="AA227" s="185">
        <f t="shared" si="262"/>
        <v>-3.504424778761054E-2</v>
      </c>
    </row>
    <row r="228" spans="1:27" x14ac:dyDescent="0.55000000000000004">
      <c r="A228" s="230" t="s">
        <v>221</v>
      </c>
      <c r="B228" s="176">
        <f>INDEX(Data[FY2026 Budget Enrollment],MATCH(A228,Data[Label],0))+INDEX(Data[FY2026 ESA],MATCH(A228,Data[Label],0))</f>
        <v>1027.4000000000001</v>
      </c>
      <c r="C228" s="218">
        <f>INDEX(Data[FY2026 TSS],MATCH(A228,Data[Label],0))</f>
        <v>1029.6400000000001</v>
      </c>
      <c r="D228" s="218">
        <f>INDEX(Data[FY2026 PD],MATCH(A228,Data[Label],0))</f>
        <v>79.12</v>
      </c>
      <c r="E228" s="218">
        <f>INDEX(Data[FY2026 Early Intervention],MATCH(A228,Data[Label],0))</f>
        <v>78.290000000000006</v>
      </c>
      <c r="F228" s="218">
        <f>INDEX(Data[FY2026 TLC],MATCH(A228,Data[Label],0))</f>
        <v>385.29</v>
      </c>
      <c r="G228" s="177">
        <f t="shared" si="247"/>
        <v>1057852</v>
      </c>
      <c r="H228" s="177">
        <f t="shared" si="248"/>
        <v>81288</v>
      </c>
      <c r="I228" s="177">
        <f t="shared" si="249"/>
        <v>80435</v>
      </c>
      <c r="J228" s="177">
        <f t="shared" si="250"/>
        <v>395847</v>
      </c>
      <c r="K228" s="177">
        <f>INDEX(Data[FY2026 TSS Budget Guarantee],MATCH(A228,Data[Label],0))+INDEX(Data[FY2026 PD Budget Guarantee],MATCH(A228,Data[Label],0))+INDEX(Data[FY2026 Early Intervention Budget Guarantee],MATCH(A228,Data[Label],0))+INDEX(Data[FY2026 TLC Budget Gurantee],MATCH(A228,Data[Label],0))</f>
        <v>0</v>
      </c>
      <c r="L228" s="177">
        <f t="shared" si="251"/>
        <v>1615422</v>
      </c>
      <c r="M228" s="176">
        <f>INDEX(Data[FY2027 Budget Enrollment],MATCH(A228,Data[Label],0))+INDEX(Data[FY2027 ESAs],MATCH(A228,Data[Label],0))</f>
        <v>990.7</v>
      </c>
      <c r="N228" s="218">
        <f t="shared" si="252"/>
        <v>1043.3300000000002</v>
      </c>
      <c r="O228" s="218">
        <f t="shared" si="253"/>
        <v>80.67</v>
      </c>
      <c r="P228" s="218">
        <f t="shared" si="254"/>
        <v>79.98</v>
      </c>
      <c r="Q228" s="218">
        <f t="shared" si="255"/>
        <v>393</v>
      </c>
      <c r="R228" s="177">
        <f t="shared" si="263"/>
        <v>1033627</v>
      </c>
      <c r="S228" s="177">
        <f t="shared" si="264"/>
        <v>79920</v>
      </c>
      <c r="T228" s="177">
        <f t="shared" si="265"/>
        <v>79236</v>
      </c>
      <c r="U228" s="177">
        <f t="shared" ref="U228" si="290">ROUND($M228*Q228,0)</f>
        <v>389345</v>
      </c>
      <c r="V228" s="177">
        <f t="shared" si="257"/>
        <v>33294</v>
      </c>
      <c r="W228" s="177">
        <f t="shared" si="258"/>
        <v>1615422</v>
      </c>
      <c r="X228" s="177">
        <f t="shared" si="259"/>
        <v>0</v>
      </c>
      <c r="Y228" s="178">
        <f t="shared" si="260"/>
        <v>0</v>
      </c>
      <c r="Z228" s="179">
        <f t="shared" si="261"/>
        <v>-36.700000000000045</v>
      </c>
      <c r="AA228" s="180">
        <f t="shared" si="262"/>
        <v>-3.5721238076698504E-2</v>
      </c>
    </row>
    <row r="229" spans="1:27" x14ac:dyDescent="0.55000000000000004">
      <c r="A229" s="229" t="s">
        <v>222</v>
      </c>
      <c r="B229" s="181">
        <f>INDEX(Data[FY2026 Budget Enrollment],MATCH(A229,Data[Label],0))+INDEX(Data[FY2026 ESA],MATCH(A229,Data[Label],0))</f>
        <v>198.9</v>
      </c>
      <c r="C229" s="91">
        <f>INDEX(Data[FY2026 TSS],MATCH(A229,Data[Label],0))</f>
        <v>1515.34</v>
      </c>
      <c r="D229" s="91">
        <f>INDEX(Data[FY2026 PD],MATCH(A229,Data[Label],0))</f>
        <v>85.41</v>
      </c>
      <c r="E229" s="91">
        <f>INDEX(Data[FY2026 Early Intervention],MATCH(A229,Data[Label],0))</f>
        <v>84.6</v>
      </c>
      <c r="F229" s="91">
        <f>INDEX(Data[FY2026 TLC],MATCH(A229,Data[Label],0))</f>
        <v>385.29</v>
      </c>
      <c r="G229" s="182">
        <f t="shared" si="247"/>
        <v>301401</v>
      </c>
      <c r="H229" s="182">
        <f t="shared" si="248"/>
        <v>16988</v>
      </c>
      <c r="I229" s="182">
        <f t="shared" si="249"/>
        <v>16827</v>
      </c>
      <c r="J229" s="182">
        <f t="shared" si="250"/>
        <v>76634</v>
      </c>
      <c r="K229" s="182">
        <f>INDEX(Data[FY2026 TSS Budget Guarantee],MATCH(A229,Data[Label],0))+INDEX(Data[FY2026 PD Budget Guarantee],MATCH(A229,Data[Label],0))+INDEX(Data[FY2026 Early Intervention Budget Guarantee],MATCH(A229,Data[Label],0))+INDEX(Data[FY2026 TLC Budget Gurantee],MATCH(A229,Data[Label],0))</f>
        <v>0</v>
      </c>
      <c r="L229" s="182">
        <f t="shared" si="251"/>
        <v>411850</v>
      </c>
      <c r="M229" s="181">
        <f>INDEX(Data[FY2027 Budget Enrollment],MATCH(A229,Data[Label],0))+INDEX(Data[FY2027 ESAs],MATCH(A229,Data[Label],0))</f>
        <v>189.9</v>
      </c>
      <c r="N229" s="91">
        <f t="shared" si="252"/>
        <v>1529.03</v>
      </c>
      <c r="O229" s="91">
        <f t="shared" si="253"/>
        <v>86.96</v>
      </c>
      <c r="P229" s="91">
        <f t="shared" si="254"/>
        <v>86.289999999999992</v>
      </c>
      <c r="Q229" s="91">
        <f t="shared" si="255"/>
        <v>393</v>
      </c>
      <c r="R229" s="182">
        <f t="shared" si="263"/>
        <v>290363</v>
      </c>
      <c r="S229" s="182">
        <f t="shared" si="264"/>
        <v>16514</v>
      </c>
      <c r="T229" s="182">
        <f t="shared" si="265"/>
        <v>16386</v>
      </c>
      <c r="U229" s="182">
        <f t="shared" ref="U229" si="291">ROUND($M229*Q229,)</f>
        <v>74631</v>
      </c>
      <c r="V229" s="182">
        <f t="shared" si="257"/>
        <v>13956</v>
      </c>
      <c r="W229" s="182">
        <f t="shared" si="258"/>
        <v>411850</v>
      </c>
      <c r="X229" s="182">
        <f t="shared" si="259"/>
        <v>0</v>
      </c>
      <c r="Y229" s="183">
        <f t="shared" si="260"/>
        <v>0</v>
      </c>
      <c r="Z229" s="184">
        <f t="shared" si="261"/>
        <v>-9</v>
      </c>
      <c r="AA229" s="185">
        <f t="shared" si="262"/>
        <v>-4.5248868778280542E-2</v>
      </c>
    </row>
    <row r="230" spans="1:27" x14ac:dyDescent="0.55000000000000004">
      <c r="A230" s="230" t="s">
        <v>223</v>
      </c>
      <c r="B230" s="176">
        <f>INDEX(Data[FY2026 Budget Enrollment],MATCH(A230,Data[Label],0))+INDEX(Data[FY2026 ESA],MATCH(A230,Data[Label],0))</f>
        <v>143</v>
      </c>
      <c r="C230" s="218">
        <f>INDEX(Data[FY2026 TSS],MATCH(A230,Data[Label],0))</f>
        <v>2035.29</v>
      </c>
      <c r="D230" s="218">
        <f>INDEX(Data[FY2026 PD],MATCH(A230,Data[Label],0))</f>
        <v>92.79</v>
      </c>
      <c r="E230" s="218">
        <f>INDEX(Data[FY2026 Early Intervention],MATCH(A230,Data[Label],0))</f>
        <v>68.260000000000005</v>
      </c>
      <c r="F230" s="218">
        <f>INDEX(Data[FY2026 TLC],MATCH(A230,Data[Label],0))</f>
        <v>385.29</v>
      </c>
      <c r="G230" s="177">
        <f t="shared" si="247"/>
        <v>291046</v>
      </c>
      <c r="H230" s="177">
        <f t="shared" si="248"/>
        <v>13269</v>
      </c>
      <c r="I230" s="177">
        <f t="shared" si="249"/>
        <v>9761</v>
      </c>
      <c r="J230" s="177">
        <f t="shared" si="250"/>
        <v>55096</v>
      </c>
      <c r="K230" s="177">
        <f>INDEX(Data[FY2026 TSS Budget Guarantee],MATCH(A230,Data[Label],0))+INDEX(Data[FY2026 PD Budget Guarantee],MATCH(A230,Data[Label],0))+INDEX(Data[FY2026 Early Intervention Budget Guarantee],MATCH(A230,Data[Label],0))+INDEX(Data[FY2026 TLC Budget Gurantee],MATCH(A230,Data[Label],0))</f>
        <v>10732</v>
      </c>
      <c r="L230" s="177">
        <f t="shared" si="251"/>
        <v>379904</v>
      </c>
      <c r="M230" s="176">
        <f>INDEX(Data[FY2027 Budget Enrollment],MATCH(A230,Data[Label],0))+INDEX(Data[FY2027 ESAs],MATCH(A230,Data[Label],0))</f>
        <v>111</v>
      </c>
      <c r="N230" s="218">
        <f t="shared" si="252"/>
        <v>2048.98</v>
      </c>
      <c r="O230" s="218">
        <f t="shared" si="253"/>
        <v>94.34</v>
      </c>
      <c r="P230" s="218">
        <f t="shared" si="254"/>
        <v>69.95</v>
      </c>
      <c r="Q230" s="218">
        <f t="shared" si="255"/>
        <v>393</v>
      </c>
      <c r="R230" s="177">
        <f t="shared" si="263"/>
        <v>227437</v>
      </c>
      <c r="S230" s="177">
        <f t="shared" si="264"/>
        <v>10472</v>
      </c>
      <c r="T230" s="177">
        <f t="shared" si="265"/>
        <v>7764</v>
      </c>
      <c r="U230" s="177">
        <f t="shared" ref="U230" si="292">ROUND($M230*Q230,0)</f>
        <v>43623</v>
      </c>
      <c r="V230" s="177">
        <f t="shared" si="257"/>
        <v>79876</v>
      </c>
      <c r="W230" s="177">
        <f t="shared" si="258"/>
        <v>369172</v>
      </c>
      <c r="X230" s="177">
        <f t="shared" si="259"/>
        <v>-10732</v>
      </c>
      <c r="Y230" s="178">
        <f t="shared" si="260"/>
        <v>-2.8249241913746632E-2</v>
      </c>
      <c r="Z230" s="179">
        <f t="shared" si="261"/>
        <v>-32</v>
      </c>
      <c r="AA230" s="180">
        <f t="shared" si="262"/>
        <v>-0.22377622377622378</v>
      </c>
    </row>
    <row r="231" spans="1:27" x14ac:dyDescent="0.55000000000000004">
      <c r="A231" s="229" t="s">
        <v>224</v>
      </c>
      <c r="B231" s="181">
        <f>INDEX(Data[FY2026 Budget Enrollment],MATCH(A231,Data[Label],0))+INDEX(Data[FY2026 ESA],MATCH(A231,Data[Label],0))</f>
        <v>886.4</v>
      </c>
      <c r="C231" s="91">
        <f>INDEX(Data[FY2026 TSS],MATCH(A231,Data[Label],0))</f>
        <v>997.96</v>
      </c>
      <c r="D231" s="91">
        <f>INDEX(Data[FY2026 PD],MATCH(A231,Data[Label],0))</f>
        <v>77.8</v>
      </c>
      <c r="E231" s="91">
        <f>INDEX(Data[FY2026 Early Intervention],MATCH(A231,Data[Label],0))</f>
        <v>74.790000000000006</v>
      </c>
      <c r="F231" s="91">
        <f>INDEX(Data[FY2026 TLC],MATCH(A231,Data[Label],0))</f>
        <v>385.29</v>
      </c>
      <c r="G231" s="182">
        <f t="shared" si="247"/>
        <v>884592</v>
      </c>
      <c r="H231" s="182">
        <f t="shared" si="248"/>
        <v>68962</v>
      </c>
      <c r="I231" s="182">
        <f t="shared" si="249"/>
        <v>66294</v>
      </c>
      <c r="J231" s="182">
        <f t="shared" si="250"/>
        <v>341521</v>
      </c>
      <c r="K231" s="182">
        <f>INDEX(Data[FY2026 TSS Budget Guarantee],MATCH(A231,Data[Label],0))+INDEX(Data[FY2026 PD Budget Guarantee],MATCH(A231,Data[Label],0))+INDEX(Data[FY2026 Early Intervention Budget Guarantee],MATCH(A231,Data[Label],0))+INDEX(Data[FY2026 TLC Budget Gurantee],MATCH(A231,Data[Label],0))</f>
        <v>0</v>
      </c>
      <c r="L231" s="182">
        <f t="shared" si="251"/>
        <v>1361369</v>
      </c>
      <c r="M231" s="181">
        <f>INDEX(Data[FY2027 Budget Enrollment],MATCH(A231,Data[Label],0))+INDEX(Data[FY2027 ESAs],MATCH(A231,Data[Label],0))</f>
        <v>879.6</v>
      </c>
      <c r="N231" s="91">
        <f t="shared" si="252"/>
        <v>1011.6500000000001</v>
      </c>
      <c r="O231" s="91">
        <f t="shared" si="253"/>
        <v>79.349999999999994</v>
      </c>
      <c r="P231" s="91">
        <f t="shared" si="254"/>
        <v>76.48</v>
      </c>
      <c r="Q231" s="91">
        <f t="shared" si="255"/>
        <v>393</v>
      </c>
      <c r="R231" s="182">
        <f t="shared" si="263"/>
        <v>889847</v>
      </c>
      <c r="S231" s="182">
        <f t="shared" si="264"/>
        <v>69796</v>
      </c>
      <c r="T231" s="182">
        <f t="shared" si="265"/>
        <v>67272</v>
      </c>
      <c r="U231" s="182">
        <f t="shared" ref="U231" si="293">ROUND($M231*Q231,)</f>
        <v>345683</v>
      </c>
      <c r="V231" s="182">
        <f t="shared" si="257"/>
        <v>0</v>
      </c>
      <c r="W231" s="182">
        <f t="shared" si="258"/>
        <v>1372598</v>
      </c>
      <c r="X231" s="182">
        <f t="shared" si="259"/>
        <v>11229</v>
      </c>
      <c r="Y231" s="183">
        <f t="shared" si="260"/>
        <v>8.2483147478751174E-3</v>
      </c>
      <c r="Z231" s="184">
        <f t="shared" si="261"/>
        <v>-6.7999999999999545</v>
      </c>
      <c r="AA231" s="185">
        <f t="shared" si="262"/>
        <v>-7.6714801444042807E-3</v>
      </c>
    </row>
    <row r="232" spans="1:27" x14ac:dyDescent="0.55000000000000004">
      <c r="A232" s="230" t="s">
        <v>225</v>
      </c>
      <c r="B232" s="176">
        <f>INDEX(Data[FY2026 Budget Enrollment],MATCH(A232,Data[Label],0))+INDEX(Data[FY2026 ESA],MATCH(A232,Data[Label],0))</f>
        <v>2354</v>
      </c>
      <c r="C232" s="218">
        <f>INDEX(Data[FY2026 TSS],MATCH(A232,Data[Label],0))</f>
        <v>909.43</v>
      </c>
      <c r="D232" s="218">
        <f>INDEX(Data[FY2026 PD],MATCH(A232,Data[Label],0))</f>
        <v>78.42</v>
      </c>
      <c r="E232" s="218">
        <f>INDEX(Data[FY2026 Early Intervention],MATCH(A232,Data[Label],0))</f>
        <v>86.99</v>
      </c>
      <c r="F232" s="218">
        <f>INDEX(Data[FY2026 TLC],MATCH(A232,Data[Label],0))</f>
        <v>385.29</v>
      </c>
      <c r="G232" s="177">
        <f t="shared" si="247"/>
        <v>2140798</v>
      </c>
      <c r="H232" s="177">
        <f t="shared" si="248"/>
        <v>184601</v>
      </c>
      <c r="I232" s="177">
        <f t="shared" si="249"/>
        <v>204774</v>
      </c>
      <c r="J232" s="177">
        <f t="shared" si="250"/>
        <v>906973</v>
      </c>
      <c r="K232" s="177">
        <f>INDEX(Data[FY2026 TSS Budget Guarantee],MATCH(A232,Data[Label],0))+INDEX(Data[FY2026 PD Budget Guarantee],MATCH(A232,Data[Label],0))+INDEX(Data[FY2026 Early Intervention Budget Guarantee],MATCH(A232,Data[Label],0))+INDEX(Data[FY2026 TLC Budget Gurantee],MATCH(A232,Data[Label],0))</f>
        <v>0</v>
      </c>
      <c r="L232" s="177">
        <f t="shared" si="251"/>
        <v>3437146</v>
      </c>
      <c r="M232" s="176">
        <f>INDEX(Data[FY2027 Budget Enrollment],MATCH(A232,Data[Label],0))+INDEX(Data[FY2027 ESAs],MATCH(A232,Data[Label],0))</f>
        <v>2394.8000000000002</v>
      </c>
      <c r="N232" s="218">
        <f t="shared" si="252"/>
        <v>923.12</v>
      </c>
      <c r="O232" s="218">
        <f t="shared" si="253"/>
        <v>79.97</v>
      </c>
      <c r="P232" s="218">
        <f t="shared" si="254"/>
        <v>88.679999999999993</v>
      </c>
      <c r="Q232" s="218">
        <f t="shared" si="255"/>
        <v>393</v>
      </c>
      <c r="R232" s="177">
        <f t="shared" si="263"/>
        <v>2210688</v>
      </c>
      <c r="S232" s="177">
        <f t="shared" si="264"/>
        <v>191512</v>
      </c>
      <c r="T232" s="177">
        <f t="shared" si="265"/>
        <v>212371</v>
      </c>
      <c r="U232" s="177">
        <f t="shared" ref="U232" si="294">ROUND($M232*Q232,0)</f>
        <v>941156</v>
      </c>
      <c r="V232" s="177">
        <f t="shared" si="257"/>
        <v>0</v>
      </c>
      <c r="W232" s="177">
        <f t="shared" si="258"/>
        <v>3555727</v>
      </c>
      <c r="X232" s="177">
        <f t="shared" si="259"/>
        <v>118581</v>
      </c>
      <c r="Y232" s="178">
        <f t="shared" si="260"/>
        <v>3.4499843765728892E-2</v>
      </c>
      <c r="Z232" s="179">
        <f t="shared" si="261"/>
        <v>40.800000000000182</v>
      </c>
      <c r="AA232" s="180">
        <f t="shared" si="262"/>
        <v>1.733220050977068E-2</v>
      </c>
    </row>
    <row r="233" spans="1:27" x14ac:dyDescent="0.55000000000000004">
      <c r="A233" s="229" t="s">
        <v>226</v>
      </c>
      <c r="B233" s="181">
        <f>INDEX(Data[FY2026 Budget Enrollment],MATCH(A233,Data[Label],0))+INDEX(Data[FY2026 ESA],MATCH(A233,Data[Label],0))</f>
        <v>5259.3</v>
      </c>
      <c r="C233" s="91">
        <f>INDEX(Data[FY2026 TSS],MATCH(A233,Data[Label],0))</f>
        <v>735.1</v>
      </c>
      <c r="D233" s="91">
        <f>INDEX(Data[FY2026 PD],MATCH(A233,Data[Label],0))</f>
        <v>75.31</v>
      </c>
      <c r="E233" s="91">
        <f>INDEX(Data[FY2026 Early Intervention],MATCH(A233,Data[Label],0))</f>
        <v>93.51</v>
      </c>
      <c r="F233" s="91">
        <f>INDEX(Data[FY2026 TLC],MATCH(A233,Data[Label],0))</f>
        <v>385.29</v>
      </c>
      <c r="G233" s="182">
        <f t="shared" si="247"/>
        <v>3866111</v>
      </c>
      <c r="H233" s="182">
        <f t="shared" si="248"/>
        <v>396078</v>
      </c>
      <c r="I233" s="182">
        <f t="shared" si="249"/>
        <v>491797</v>
      </c>
      <c r="J233" s="182">
        <f t="shared" si="250"/>
        <v>2026356</v>
      </c>
      <c r="K233" s="182">
        <f>INDEX(Data[FY2026 TSS Budget Guarantee],MATCH(A233,Data[Label],0))+INDEX(Data[FY2026 PD Budget Guarantee],MATCH(A233,Data[Label],0))+INDEX(Data[FY2026 Early Intervention Budget Guarantee],MATCH(A233,Data[Label],0))+INDEX(Data[FY2026 TLC Budget Gurantee],MATCH(A233,Data[Label],0))</f>
        <v>0</v>
      </c>
      <c r="L233" s="182">
        <f t="shared" si="251"/>
        <v>6780342</v>
      </c>
      <c r="M233" s="181">
        <f>INDEX(Data[FY2027 Budget Enrollment],MATCH(A233,Data[Label],0))+INDEX(Data[FY2027 ESAs],MATCH(A233,Data[Label],0))</f>
        <v>5183.1000000000004</v>
      </c>
      <c r="N233" s="91">
        <f t="shared" si="252"/>
        <v>748.79000000000008</v>
      </c>
      <c r="O233" s="91">
        <f t="shared" si="253"/>
        <v>76.86</v>
      </c>
      <c r="P233" s="91">
        <f t="shared" si="254"/>
        <v>95.2</v>
      </c>
      <c r="Q233" s="91">
        <f t="shared" si="255"/>
        <v>393</v>
      </c>
      <c r="R233" s="182">
        <f t="shared" si="263"/>
        <v>3881053</v>
      </c>
      <c r="S233" s="182">
        <f t="shared" si="264"/>
        <v>398373</v>
      </c>
      <c r="T233" s="182">
        <f t="shared" si="265"/>
        <v>493431</v>
      </c>
      <c r="U233" s="182">
        <f t="shared" ref="U233" si="295">ROUND($M233*Q233,)</f>
        <v>2036958</v>
      </c>
      <c r="V233" s="182">
        <f t="shared" si="257"/>
        <v>0</v>
      </c>
      <c r="W233" s="182">
        <f t="shared" si="258"/>
        <v>6809815</v>
      </c>
      <c r="X233" s="182">
        <f t="shared" si="259"/>
        <v>29473</v>
      </c>
      <c r="Y233" s="183">
        <f t="shared" si="260"/>
        <v>4.3468308825720002E-3</v>
      </c>
      <c r="Z233" s="184">
        <f t="shared" si="261"/>
        <v>-76.199999999999818</v>
      </c>
      <c r="AA233" s="185">
        <f t="shared" si="262"/>
        <v>-1.4488620158576201E-2</v>
      </c>
    </row>
    <row r="234" spans="1:27" x14ac:dyDescent="0.55000000000000004">
      <c r="A234" s="230" t="s">
        <v>227</v>
      </c>
      <c r="B234" s="176">
        <f>INDEX(Data[FY2026 Budget Enrollment],MATCH(A234,Data[Label],0))+INDEX(Data[FY2026 ESA],MATCH(A234,Data[Label],0))</f>
        <v>1007.1</v>
      </c>
      <c r="C234" s="218">
        <f>INDEX(Data[FY2026 TSS],MATCH(A234,Data[Label],0))</f>
        <v>972.07</v>
      </c>
      <c r="D234" s="218">
        <f>INDEX(Data[FY2026 PD],MATCH(A234,Data[Label],0))</f>
        <v>72.680000000000007</v>
      </c>
      <c r="E234" s="218">
        <f>INDEX(Data[FY2026 Early Intervention],MATCH(A234,Data[Label],0))</f>
        <v>75.239999999999995</v>
      </c>
      <c r="F234" s="218">
        <f>INDEX(Data[FY2026 TLC],MATCH(A234,Data[Label],0))</f>
        <v>385.29</v>
      </c>
      <c r="G234" s="177">
        <f t="shared" si="247"/>
        <v>978972</v>
      </c>
      <c r="H234" s="177">
        <f t="shared" si="248"/>
        <v>73196</v>
      </c>
      <c r="I234" s="177">
        <f t="shared" si="249"/>
        <v>75774</v>
      </c>
      <c r="J234" s="177">
        <f t="shared" si="250"/>
        <v>388026</v>
      </c>
      <c r="K234" s="177">
        <f>INDEX(Data[FY2026 TSS Budget Guarantee],MATCH(A234,Data[Label],0))+INDEX(Data[FY2026 PD Budget Guarantee],MATCH(A234,Data[Label],0))+INDEX(Data[FY2026 Early Intervention Budget Guarantee],MATCH(A234,Data[Label],0))+INDEX(Data[FY2026 TLC Budget Gurantee],MATCH(A234,Data[Label],0))</f>
        <v>0</v>
      </c>
      <c r="L234" s="177">
        <f t="shared" si="251"/>
        <v>1515968</v>
      </c>
      <c r="M234" s="176">
        <f>INDEX(Data[FY2027 Budget Enrollment],MATCH(A234,Data[Label],0))+INDEX(Data[FY2027 ESAs],MATCH(A234,Data[Label],0))</f>
        <v>968.1</v>
      </c>
      <c r="N234" s="218">
        <f t="shared" si="252"/>
        <v>985.7600000000001</v>
      </c>
      <c r="O234" s="218">
        <f t="shared" si="253"/>
        <v>74.23</v>
      </c>
      <c r="P234" s="218">
        <f t="shared" si="254"/>
        <v>76.929999999999993</v>
      </c>
      <c r="Q234" s="218">
        <f t="shared" si="255"/>
        <v>393</v>
      </c>
      <c r="R234" s="177">
        <f t="shared" si="263"/>
        <v>954314</v>
      </c>
      <c r="S234" s="177">
        <f t="shared" si="264"/>
        <v>71862</v>
      </c>
      <c r="T234" s="177">
        <f t="shared" si="265"/>
        <v>74476</v>
      </c>
      <c r="U234" s="177">
        <f t="shared" ref="U234" si="296">ROUND($M234*Q234,0)</f>
        <v>380463</v>
      </c>
      <c r="V234" s="177">
        <f t="shared" si="257"/>
        <v>34853</v>
      </c>
      <c r="W234" s="177">
        <f t="shared" si="258"/>
        <v>1515968</v>
      </c>
      <c r="X234" s="177">
        <f t="shared" si="259"/>
        <v>0</v>
      </c>
      <c r="Y234" s="178">
        <f t="shared" si="260"/>
        <v>0</v>
      </c>
      <c r="Z234" s="179">
        <f t="shared" si="261"/>
        <v>-39</v>
      </c>
      <c r="AA234" s="180">
        <f t="shared" si="262"/>
        <v>-3.8725052129877868E-2</v>
      </c>
    </row>
    <row r="235" spans="1:27" x14ac:dyDescent="0.55000000000000004">
      <c r="A235" s="229" t="s">
        <v>228</v>
      </c>
      <c r="B235" s="181">
        <f>INDEX(Data[FY2026 Budget Enrollment],MATCH(A235,Data[Label],0))+INDEX(Data[FY2026 ESA],MATCH(A235,Data[Label],0))</f>
        <v>645.5</v>
      </c>
      <c r="C235" s="91">
        <f>INDEX(Data[FY2026 TSS],MATCH(A235,Data[Label],0))</f>
        <v>1030.55</v>
      </c>
      <c r="D235" s="91">
        <f>INDEX(Data[FY2026 PD],MATCH(A235,Data[Label],0))</f>
        <v>67.86</v>
      </c>
      <c r="E235" s="91">
        <f>INDEX(Data[FY2026 Early Intervention],MATCH(A235,Data[Label],0))</f>
        <v>72.14</v>
      </c>
      <c r="F235" s="91">
        <f>INDEX(Data[FY2026 TLC],MATCH(A235,Data[Label],0))</f>
        <v>385.29</v>
      </c>
      <c r="G235" s="182">
        <f t="shared" si="247"/>
        <v>665220</v>
      </c>
      <c r="H235" s="182">
        <f t="shared" si="248"/>
        <v>43804</v>
      </c>
      <c r="I235" s="182">
        <f t="shared" si="249"/>
        <v>46566</v>
      </c>
      <c r="J235" s="182">
        <f t="shared" si="250"/>
        <v>248705</v>
      </c>
      <c r="K235" s="182">
        <f>INDEX(Data[FY2026 TSS Budget Guarantee],MATCH(A235,Data[Label],0))+INDEX(Data[FY2026 PD Budget Guarantee],MATCH(A235,Data[Label],0))+INDEX(Data[FY2026 Early Intervention Budget Guarantee],MATCH(A235,Data[Label],0))+INDEX(Data[FY2026 TLC Budget Gurantee],MATCH(A235,Data[Label],0))</f>
        <v>0</v>
      </c>
      <c r="L235" s="182">
        <f t="shared" si="251"/>
        <v>1004295</v>
      </c>
      <c r="M235" s="181">
        <f>INDEX(Data[FY2027 Budget Enrollment],MATCH(A235,Data[Label],0))+INDEX(Data[FY2027 ESAs],MATCH(A235,Data[Label],0))</f>
        <v>638.9</v>
      </c>
      <c r="N235" s="91">
        <f t="shared" si="252"/>
        <v>1044.24</v>
      </c>
      <c r="O235" s="91">
        <f t="shared" si="253"/>
        <v>69.41</v>
      </c>
      <c r="P235" s="91">
        <f t="shared" si="254"/>
        <v>73.83</v>
      </c>
      <c r="Q235" s="91">
        <f t="shared" si="255"/>
        <v>393</v>
      </c>
      <c r="R235" s="182">
        <f t="shared" si="263"/>
        <v>667165</v>
      </c>
      <c r="S235" s="182">
        <f t="shared" si="264"/>
        <v>44346</v>
      </c>
      <c r="T235" s="182">
        <f t="shared" si="265"/>
        <v>47170</v>
      </c>
      <c r="U235" s="182">
        <f t="shared" ref="U235" si="297">ROUND($M235*Q235,)</f>
        <v>251088</v>
      </c>
      <c r="V235" s="182">
        <f t="shared" si="257"/>
        <v>0</v>
      </c>
      <c r="W235" s="182">
        <f t="shared" si="258"/>
        <v>1009769</v>
      </c>
      <c r="X235" s="182">
        <f t="shared" si="259"/>
        <v>5474</v>
      </c>
      <c r="Y235" s="183">
        <f t="shared" si="260"/>
        <v>5.4505897171647777E-3</v>
      </c>
      <c r="Z235" s="184">
        <f t="shared" si="261"/>
        <v>-6.6000000000000227</v>
      </c>
      <c r="AA235" s="185">
        <f t="shared" si="262"/>
        <v>-1.0224632068164249E-2</v>
      </c>
    </row>
    <row r="236" spans="1:27" x14ac:dyDescent="0.55000000000000004">
      <c r="A236" s="230" t="s">
        <v>229</v>
      </c>
      <c r="B236" s="176">
        <f>INDEX(Data[FY2026 Budget Enrollment],MATCH(A236,Data[Label],0))+INDEX(Data[FY2026 ESA],MATCH(A236,Data[Label],0))</f>
        <v>190</v>
      </c>
      <c r="C236" s="218">
        <f>INDEX(Data[FY2026 TSS],MATCH(A236,Data[Label],0))</f>
        <v>1296.68</v>
      </c>
      <c r="D236" s="218">
        <f>INDEX(Data[FY2026 PD],MATCH(A236,Data[Label],0))</f>
        <v>65.03</v>
      </c>
      <c r="E236" s="218">
        <f>INDEX(Data[FY2026 Early Intervention],MATCH(A236,Data[Label],0))</f>
        <v>84.77</v>
      </c>
      <c r="F236" s="218">
        <f>INDEX(Data[FY2026 TLC],MATCH(A236,Data[Label],0))</f>
        <v>385.29</v>
      </c>
      <c r="G236" s="177">
        <f t="shared" si="247"/>
        <v>246369</v>
      </c>
      <c r="H236" s="177">
        <f t="shared" si="248"/>
        <v>12356</v>
      </c>
      <c r="I236" s="177">
        <f t="shared" si="249"/>
        <v>16106</v>
      </c>
      <c r="J236" s="177">
        <f t="shared" si="250"/>
        <v>73205</v>
      </c>
      <c r="K236" s="177">
        <f>INDEX(Data[FY2026 TSS Budget Guarantee],MATCH(A236,Data[Label],0))+INDEX(Data[FY2026 PD Budget Guarantee],MATCH(A236,Data[Label],0))+INDEX(Data[FY2026 Early Intervention Budget Guarantee],MATCH(A236,Data[Label],0))+INDEX(Data[FY2026 TLC Budget Gurantee],MATCH(A236,Data[Label],0))</f>
        <v>0</v>
      </c>
      <c r="L236" s="177">
        <f t="shared" si="251"/>
        <v>348036</v>
      </c>
      <c r="M236" s="176">
        <f>INDEX(Data[FY2027 Budget Enrollment],MATCH(A236,Data[Label],0))+INDEX(Data[FY2027 ESAs],MATCH(A236,Data[Label],0))</f>
        <v>185</v>
      </c>
      <c r="N236" s="218">
        <f t="shared" si="252"/>
        <v>1310.3700000000001</v>
      </c>
      <c r="O236" s="218">
        <f t="shared" si="253"/>
        <v>66.58</v>
      </c>
      <c r="P236" s="218">
        <f t="shared" si="254"/>
        <v>86.46</v>
      </c>
      <c r="Q236" s="218">
        <f t="shared" si="255"/>
        <v>393</v>
      </c>
      <c r="R236" s="177">
        <f t="shared" si="263"/>
        <v>242418</v>
      </c>
      <c r="S236" s="177">
        <f t="shared" si="264"/>
        <v>12317</v>
      </c>
      <c r="T236" s="177">
        <f t="shared" si="265"/>
        <v>15995</v>
      </c>
      <c r="U236" s="177">
        <f t="shared" ref="U236" si="298">ROUND($M236*Q236,0)</f>
        <v>72705</v>
      </c>
      <c r="V236" s="177">
        <f t="shared" si="257"/>
        <v>4601</v>
      </c>
      <c r="W236" s="177">
        <f t="shared" si="258"/>
        <v>348036</v>
      </c>
      <c r="X236" s="177">
        <f t="shared" si="259"/>
        <v>0</v>
      </c>
      <c r="Y236" s="178">
        <f t="shared" si="260"/>
        <v>0</v>
      </c>
      <c r="Z236" s="179">
        <f t="shared" si="261"/>
        <v>-5</v>
      </c>
      <c r="AA236" s="180">
        <f t="shared" si="262"/>
        <v>-2.6315789473684209E-2</v>
      </c>
    </row>
    <row r="237" spans="1:27" x14ac:dyDescent="0.55000000000000004">
      <c r="A237" s="229" t="s">
        <v>230</v>
      </c>
      <c r="B237" s="181">
        <f>INDEX(Data[FY2026 Budget Enrollment],MATCH(A237,Data[Label],0))+INDEX(Data[FY2026 ESA],MATCH(A237,Data[Label],0))</f>
        <v>544.20000000000005</v>
      </c>
      <c r="C237" s="91">
        <f>INDEX(Data[FY2026 TSS],MATCH(A237,Data[Label],0))</f>
        <v>1041.3399999999999</v>
      </c>
      <c r="D237" s="91">
        <f>INDEX(Data[FY2026 PD],MATCH(A237,Data[Label],0))</f>
        <v>76.78</v>
      </c>
      <c r="E237" s="91">
        <f>INDEX(Data[FY2026 Early Intervention],MATCH(A237,Data[Label],0))</f>
        <v>79.86</v>
      </c>
      <c r="F237" s="91">
        <f>INDEX(Data[FY2026 TLC],MATCH(A237,Data[Label],0))</f>
        <v>385.29</v>
      </c>
      <c r="G237" s="182">
        <f t="shared" si="247"/>
        <v>566697</v>
      </c>
      <c r="H237" s="182">
        <f t="shared" si="248"/>
        <v>41784</v>
      </c>
      <c r="I237" s="182">
        <f t="shared" si="249"/>
        <v>43460</v>
      </c>
      <c r="J237" s="182">
        <f t="shared" si="250"/>
        <v>209675</v>
      </c>
      <c r="K237" s="182">
        <f>INDEX(Data[FY2026 TSS Budget Guarantee],MATCH(A237,Data[Label],0))+INDEX(Data[FY2026 PD Budget Guarantee],MATCH(A237,Data[Label],0))+INDEX(Data[FY2026 Early Intervention Budget Guarantee],MATCH(A237,Data[Label],0))+INDEX(Data[FY2026 TLC Budget Gurantee],MATCH(A237,Data[Label],0))</f>
        <v>0</v>
      </c>
      <c r="L237" s="182">
        <f t="shared" si="251"/>
        <v>861616</v>
      </c>
      <c r="M237" s="181">
        <f>INDEX(Data[FY2027 Budget Enrollment],MATCH(A237,Data[Label],0))+INDEX(Data[FY2027 ESAs],MATCH(A237,Data[Label],0))</f>
        <v>539.79999999999995</v>
      </c>
      <c r="N237" s="91">
        <f t="shared" si="252"/>
        <v>1055.03</v>
      </c>
      <c r="O237" s="91">
        <f t="shared" si="253"/>
        <v>78.33</v>
      </c>
      <c r="P237" s="91">
        <f t="shared" si="254"/>
        <v>81.55</v>
      </c>
      <c r="Q237" s="91">
        <f t="shared" si="255"/>
        <v>393</v>
      </c>
      <c r="R237" s="182">
        <f t="shared" si="263"/>
        <v>569505</v>
      </c>
      <c r="S237" s="182">
        <f t="shared" si="264"/>
        <v>42283</v>
      </c>
      <c r="T237" s="182">
        <f t="shared" si="265"/>
        <v>44021</v>
      </c>
      <c r="U237" s="182">
        <f t="shared" ref="U237" si="299">ROUND($M237*Q237,)</f>
        <v>212141</v>
      </c>
      <c r="V237" s="182">
        <f t="shared" si="257"/>
        <v>0</v>
      </c>
      <c r="W237" s="182">
        <f t="shared" si="258"/>
        <v>867950</v>
      </c>
      <c r="X237" s="182">
        <f t="shared" si="259"/>
        <v>6334</v>
      </c>
      <c r="Y237" s="183">
        <f t="shared" si="260"/>
        <v>7.3513026684741229E-3</v>
      </c>
      <c r="Z237" s="184">
        <f t="shared" si="261"/>
        <v>-4.4000000000000909</v>
      </c>
      <c r="AA237" s="185">
        <f t="shared" si="262"/>
        <v>-8.0852627710402258E-3</v>
      </c>
    </row>
    <row r="238" spans="1:27" x14ac:dyDescent="0.55000000000000004">
      <c r="A238" s="230" t="s">
        <v>231</v>
      </c>
      <c r="B238" s="176">
        <f>INDEX(Data[FY2026 Budget Enrollment],MATCH(A238,Data[Label],0))+INDEX(Data[FY2026 ESA],MATCH(A238,Data[Label],0))</f>
        <v>2628.7</v>
      </c>
      <c r="C238" s="218">
        <f>INDEX(Data[FY2026 TSS],MATCH(A238,Data[Label],0))</f>
        <v>794.4</v>
      </c>
      <c r="D238" s="218">
        <f>INDEX(Data[FY2026 PD],MATCH(A238,Data[Label],0))</f>
        <v>71.099999999999994</v>
      </c>
      <c r="E238" s="218">
        <f>INDEX(Data[FY2026 Early Intervention],MATCH(A238,Data[Label],0))</f>
        <v>76.680000000000007</v>
      </c>
      <c r="F238" s="218">
        <f>INDEX(Data[FY2026 TLC],MATCH(A238,Data[Label],0))</f>
        <v>385.29</v>
      </c>
      <c r="G238" s="177">
        <f t="shared" si="247"/>
        <v>2088239</v>
      </c>
      <c r="H238" s="177">
        <f t="shared" si="248"/>
        <v>186901</v>
      </c>
      <c r="I238" s="177">
        <f t="shared" si="249"/>
        <v>201569</v>
      </c>
      <c r="J238" s="177">
        <f t="shared" si="250"/>
        <v>1012812</v>
      </c>
      <c r="K238" s="177">
        <f>INDEX(Data[FY2026 TSS Budget Guarantee],MATCH(A238,Data[Label],0))+INDEX(Data[FY2026 PD Budget Guarantee],MATCH(A238,Data[Label],0))+INDEX(Data[FY2026 Early Intervention Budget Guarantee],MATCH(A238,Data[Label],0))+INDEX(Data[FY2026 TLC Budget Gurantee],MATCH(A238,Data[Label],0))</f>
        <v>0</v>
      </c>
      <c r="L238" s="177">
        <f t="shared" si="251"/>
        <v>3489521</v>
      </c>
      <c r="M238" s="176">
        <f>INDEX(Data[FY2027 Budget Enrollment],MATCH(A238,Data[Label],0))+INDEX(Data[FY2027 ESAs],MATCH(A238,Data[Label],0))</f>
        <v>2749.5</v>
      </c>
      <c r="N238" s="218">
        <f t="shared" si="252"/>
        <v>808.09</v>
      </c>
      <c r="O238" s="218">
        <f t="shared" si="253"/>
        <v>72.649999999999991</v>
      </c>
      <c r="P238" s="218">
        <f t="shared" si="254"/>
        <v>78.37</v>
      </c>
      <c r="Q238" s="218">
        <f t="shared" si="255"/>
        <v>393</v>
      </c>
      <c r="R238" s="177">
        <f t="shared" si="263"/>
        <v>2221843</v>
      </c>
      <c r="S238" s="177">
        <f t="shared" si="264"/>
        <v>199751</v>
      </c>
      <c r="T238" s="177">
        <f t="shared" si="265"/>
        <v>215478</v>
      </c>
      <c r="U238" s="177">
        <f t="shared" ref="U238" si="300">ROUND($M238*Q238,0)</f>
        <v>1080554</v>
      </c>
      <c r="V238" s="177">
        <f t="shared" si="257"/>
        <v>0</v>
      </c>
      <c r="W238" s="177">
        <f t="shared" si="258"/>
        <v>3717626</v>
      </c>
      <c r="X238" s="177">
        <f t="shared" si="259"/>
        <v>228105</v>
      </c>
      <c r="Y238" s="178">
        <f t="shared" si="260"/>
        <v>6.5368570643363377E-2</v>
      </c>
      <c r="Z238" s="179">
        <f t="shared" si="261"/>
        <v>120.80000000000018</v>
      </c>
      <c r="AA238" s="180">
        <f t="shared" si="262"/>
        <v>4.5954273975729522E-2</v>
      </c>
    </row>
    <row r="239" spans="1:27" x14ac:dyDescent="0.55000000000000004">
      <c r="A239" s="229" t="s">
        <v>232</v>
      </c>
      <c r="B239" s="181">
        <f>INDEX(Data[FY2026 Budget Enrollment],MATCH(A239,Data[Label],0))+INDEX(Data[FY2026 ESA],MATCH(A239,Data[Label],0))</f>
        <v>1889.4</v>
      </c>
      <c r="C239" s="91">
        <f>INDEX(Data[FY2026 TSS],MATCH(A239,Data[Label],0))</f>
        <v>843.16</v>
      </c>
      <c r="D239" s="91">
        <f>INDEX(Data[FY2026 PD],MATCH(A239,Data[Label],0))</f>
        <v>76.23</v>
      </c>
      <c r="E239" s="91">
        <f>INDEX(Data[FY2026 Early Intervention],MATCH(A239,Data[Label],0))</f>
        <v>100.61</v>
      </c>
      <c r="F239" s="91">
        <f>INDEX(Data[FY2026 TLC],MATCH(A239,Data[Label],0))</f>
        <v>385.29</v>
      </c>
      <c r="G239" s="182">
        <f t="shared" si="247"/>
        <v>1593067</v>
      </c>
      <c r="H239" s="182">
        <f t="shared" si="248"/>
        <v>144029</v>
      </c>
      <c r="I239" s="182">
        <f t="shared" si="249"/>
        <v>190093</v>
      </c>
      <c r="J239" s="182">
        <f t="shared" si="250"/>
        <v>727967</v>
      </c>
      <c r="K239" s="182">
        <f>INDEX(Data[FY2026 TSS Budget Guarantee],MATCH(A239,Data[Label],0))+INDEX(Data[FY2026 PD Budget Guarantee],MATCH(A239,Data[Label],0))+INDEX(Data[FY2026 Early Intervention Budget Guarantee],MATCH(A239,Data[Label],0))+INDEX(Data[FY2026 TLC Budget Gurantee],MATCH(A239,Data[Label],0))</f>
        <v>26209</v>
      </c>
      <c r="L239" s="182">
        <f t="shared" si="251"/>
        <v>2681365</v>
      </c>
      <c r="M239" s="181">
        <f>INDEX(Data[FY2027 Budget Enrollment],MATCH(A239,Data[Label],0))+INDEX(Data[FY2027 ESAs],MATCH(A239,Data[Label],0))</f>
        <v>1890.4</v>
      </c>
      <c r="N239" s="91">
        <f t="shared" si="252"/>
        <v>856.85</v>
      </c>
      <c r="O239" s="91">
        <f t="shared" si="253"/>
        <v>77.78</v>
      </c>
      <c r="P239" s="91">
        <f t="shared" si="254"/>
        <v>102.3</v>
      </c>
      <c r="Q239" s="91">
        <f t="shared" si="255"/>
        <v>393</v>
      </c>
      <c r="R239" s="182">
        <f t="shared" si="263"/>
        <v>1619789</v>
      </c>
      <c r="S239" s="182">
        <f t="shared" si="264"/>
        <v>147035</v>
      </c>
      <c r="T239" s="182">
        <f t="shared" si="265"/>
        <v>193388</v>
      </c>
      <c r="U239" s="182">
        <f t="shared" ref="U239" si="301">ROUND($M239*Q239,)</f>
        <v>742927</v>
      </c>
      <c r="V239" s="182">
        <f t="shared" si="257"/>
        <v>0</v>
      </c>
      <c r="W239" s="182">
        <f t="shared" si="258"/>
        <v>2703139</v>
      </c>
      <c r="X239" s="182">
        <f t="shared" si="259"/>
        <v>21774</v>
      </c>
      <c r="Y239" s="183">
        <f t="shared" si="260"/>
        <v>8.1204908693892856E-3</v>
      </c>
      <c r="Z239" s="184">
        <f t="shared" si="261"/>
        <v>1</v>
      </c>
      <c r="AA239" s="185">
        <f t="shared" si="262"/>
        <v>5.2926855086270772E-4</v>
      </c>
    </row>
    <row r="240" spans="1:27" x14ac:dyDescent="0.55000000000000004">
      <c r="A240" s="230" t="s">
        <v>233</v>
      </c>
      <c r="B240" s="176">
        <f>INDEX(Data[FY2026 Budget Enrollment],MATCH(A240,Data[Label],0))+INDEX(Data[FY2026 ESA],MATCH(A240,Data[Label],0))</f>
        <v>5628.5</v>
      </c>
      <c r="C240" s="218">
        <f>INDEX(Data[FY2026 TSS],MATCH(A240,Data[Label],0))</f>
        <v>720.57</v>
      </c>
      <c r="D240" s="218">
        <f>INDEX(Data[FY2026 PD],MATCH(A240,Data[Label],0))</f>
        <v>74.2</v>
      </c>
      <c r="E240" s="218">
        <f>INDEX(Data[FY2026 Early Intervention],MATCH(A240,Data[Label],0))</f>
        <v>69.650000000000006</v>
      </c>
      <c r="F240" s="218">
        <f>INDEX(Data[FY2026 TLC],MATCH(A240,Data[Label],0))</f>
        <v>385.29</v>
      </c>
      <c r="G240" s="177">
        <f t="shared" si="247"/>
        <v>4055728</v>
      </c>
      <c r="H240" s="177">
        <f t="shared" si="248"/>
        <v>417635</v>
      </c>
      <c r="I240" s="177">
        <f t="shared" si="249"/>
        <v>392025</v>
      </c>
      <c r="J240" s="177">
        <f t="shared" si="250"/>
        <v>2168605</v>
      </c>
      <c r="K240" s="177">
        <f>INDEX(Data[FY2026 TSS Budget Guarantee],MATCH(A240,Data[Label],0))+INDEX(Data[FY2026 PD Budget Guarantee],MATCH(A240,Data[Label],0))+INDEX(Data[FY2026 Early Intervention Budget Guarantee],MATCH(A240,Data[Label],0))+INDEX(Data[FY2026 TLC Budget Gurantee],MATCH(A240,Data[Label],0))</f>
        <v>0</v>
      </c>
      <c r="L240" s="177">
        <f t="shared" si="251"/>
        <v>7033993</v>
      </c>
      <c r="M240" s="176">
        <f>INDEX(Data[FY2027 Budget Enrollment],MATCH(A240,Data[Label],0))+INDEX(Data[FY2027 ESAs],MATCH(A240,Data[Label],0))</f>
        <v>5685.2</v>
      </c>
      <c r="N240" s="218">
        <f t="shared" si="252"/>
        <v>734.2600000000001</v>
      </c>
      <c r="O240" s="218">
        <f t="shared" si="253"/>
        <v>75.75</v>
      </c>
      <c r="P240" s="218">
        <f t="shared" si="254"/>
        <v>71.34</v>
      </c>
      <c r="Q240" s="218">
        <f t="shared" si="255"/>
        <v>393</v>
      </c>
      <c r="R240" s="177">
        <f t="shared" si="263"/>
        <v>4174415</v>
      </c>
      <c r="S240" s="177">
        <f t="shared" si="264"/>
        <v>430654</v>
      </c>
      <c r="T240" s="177">
        <f t="shared" si="265"/>
        <v>405582</v>
      </c>
      <c r="U240" s="177">
        <f t="shared" ref="U240" si="302">ROUND($M240*Q240,0)</f>
        <v>2234284</v>
      </c>
      <c r="V240" s="177">
        <f t="shared" si="257"/>
        <v>0</v>
      </c>
      <c r="W240" s="177">
        <f t="shared" si="258"/>
        <v>7244935</v>
      </c>
      <c r="X240" s="177">
        <f t="shared" si="259"/>
        <v>210942</v>
      </c>
      <c r="Y240" s="178">
        <f t="shared" si="260"/>
        <v>2.9988940847680685E-2</v>
      </c>
      <c r="Z240" s="179">
        <f t="shared" si="261"/>
        <v>56.699999999999818</v>
      </c>
      <c r="AA240" s="180">
        <f t="shared" si="262"/>
        <v>1.0073731900150984E-2</v>
      </c>
    </row>
    <row r="241" spans="1:27" x14ac:dyDescent="0.55000000000000004">
      <c r="A241" s="229" t="s">
        <v>234</v>
      </c>
      <c r="B241" s="181">
        <f>INDEX(Data[FY2026 Budget Enrollment],MATCH(A241,Data[Label],0))+INDEX(Data[FY2026 ESA],MATCH(A241,Data[Label],0))</f>
        <v>700.9</v>
      </c>
      <c r="C241" s="91">
        <f>INDEX(Data[FY2026 TSS],MATCH(A241,Data[Label],0))</f>
        <v>1024.9000000000001</v>
      </c>
      <c r="D241" s="91">
        <f>INDEX(Data[FY2026 PD],MATCH(A241,Data[Label],0))</f>
        <v>72.760000000000005</v>
      </c>
      <c r="E241" s="91">
        <f>INDEX(Data[FY2026 Early Intervention],MATCH(A241,Data[Label],0))</f>
        <v>89.4</v>
      </c>
      <c r="F241" s="91">
        <f>INDEX(Data[FY2026 TLC],MATCH(A241,Data[Label],0))</f>
        <v>385.29</v>
      </c>
      <c r="G241" s="182">
        <f t="shared" si="247"/>
        <v>718352</v>
      </c>
      <c r="H241" s="182">
        <f t="shared" si="248"/>
        <v>50997</v>
      </c>
      <c r="I241" s="182">
        <f t="shared" si="249"/>
        <v>62660</v>
      </c>
      <c r="J241" s="182">
        <f t="shared" si="250"/>
        <v>270050</v>
      </c>
      <c r="K241" s="182">
        <f>INDEX(Data[FY2026 TSS Budget Guarantee],MATCH(A241,Data[Label],0))+INDEX(Data[FY2026 PD Budget Guarantee],MATCH(A241,Data[Label],0))+INDEX(Data[FY2026 Early Intervention Budget Guarantee],MATCH(A241,Data[Label],0))+INDEX(Data[FY2026 TLC Budget Gurantee],MATCH(A241,Data[Label],0))</f>
        <v>0</v>
      </c>
      <c r="L241" s="182">
        <f t="shared" si="251"/>
        <v>1102059</v>
      </c>
      <c r="M241" s="181">
        <f>INDEX(Data[FY2027 Budget Enrollment],MATCH(A241,Data[Label],0))+INDEX(Data[FY2027 ESAs],MATCH(A241,Data[Label],0))</f>
        <v>687.4</v>
      </c>
      <c r="N241" s="91">
        <f t="shared" si="252"/>
        <v>1038.5900000000001</v>
      </c>
      <c r="O241" s="91">
        <f t="shared" si="253"/>
        <v>74.31</v>
      </c>
      <c r="P241" s="91">
        <f t="shared" si="254"/>
        <v>91.09</v>
      </c>
      <c r="Q241" s="91">
        <f t="shared" si="255"/>
        <v>393</v>
      </c>
      <c r="R241" s="182">
        <f t="shared" si="263"/>
        <v>713927</v>
      </c>
      <c r="S241" s="182">
        <f t="shared" si="264"/>
        <v>51081</v>
      </c>
      <c r="T241" s="182">
        <f t="shared" si="265"/>
        <v>62615</v>
      </c>
      <c r="U241" s="182">
        <f t="shared" ref="U241" si="303">ROUND($M241*Q241,)</f>
        <v>270148</v>
      </c>
      <c r="V241" s="182">
        <f t="shared" si="257"/>
        <v>4470</v>
      </c>
      <c r="W241" s="182">
        <f t="shared" si="258"/>
        <v>1102241</v>
      </c>
      <c r="X241" s="182">
        <f t="shared" si="259"/>
        <v>182</v>
      </c>
      <c r="Y241" s="183">
        <f t="shared" si="260"/>
        <v>1.6514542324866456E-4</v>
      </c>
      <c r="Z241" s="184">
        <f t="shared" si="261"/>
        <v>-13.5</v>
      </c>
      <c r="AA241" s="185">
        <f t="shared" si="262"/>
        <v>-1.9260950206876872E-2</v>
      </c>
    </row>
    <row r="242" spans="1:27" x14ac:dyDescent="0.55000000000000004">
      <c r="A242" s="230" t="s">
        <v>235</v>
      </c>
      <c r="B242" s="176">
        <f>INDEX(Data[FY2026 Budget Enrollment],MATCH(A242,Data[Label],0))+INDEX(Data[FY2026 ESA],MATCH(A242,Data[Label],0))</f>
        <v>738.8</v>
      </c>
      <c r="C242" s="218">
        <f>INDEX(Data[FY2026 TSS],MATCH(A242,Data[Label],0))</f>
        <v>925.21</v>
      </c>
      <c r="D242" s="218">
        <f>INDEX(Data[FY2026 PD],MATCH(A242,Data[Label],0))</f>
        <v>97.25</v>
      </c>
      <c r="E242" s="218">
        <f>INDEX(Data[FY2026 Early Intervention],MATCH(A242,Data[Label],0))</f>
        <v>75.59</v>
      </c>
      <c r="F242" s="218">
        <f>INDEX(Data[FY2026 TLC],MATCH(A242,Data[Label],0))</f>
        <v>385.29</v>
      </c>
      <c r="G242" s="177">
        <f t="shared" si="247"/>
        <v>683545</v>
      </c>
      <c r="H242" s="177">
        <f t="shared" si="248"/>
        <v>71848</v>
      </c>
      <c r="I242" s="177">
        <f t="shared" si="249"/>
        <v>55846</v>
      </c>
      <c r="J242" s="177">
        <f t="shared" si="250"/>
        <v>284652</v>
      </c>
      <c r="K242" s="177">
        <f>INDEX(Data[FY2026 TSS Budget Guarantee],MATCH(A242,Data[Label],0))+INDEX(Data[FY2026 PD Budget Guarantee],MATCH(A242,Data[Label],0))+INDEX(Data[FY2026 Early Intervention Budget Guarantee],MATCH(A242,Data[Label],0))+INDEX(Data[FY2026 TLC Budget Gurantee],MATCH(A242,Data[Label],0))</f>
        <v>0</v>
      </c>
      <c r="L242" s="177">
        <f t="shared" si="251"/>
        <v>1095891</v>
      </c>
      <c r="M242" s="176">
        <f>INDEX(Data[FY2027 Budget Enrollment],MATCH(A242,Data[Label],0))+INDEX(Data[FY2027 ESAs],MATCH(A242,Data[Label],0))</f>
        <v>751.1</v>
      </c>
      <c r="N242" s="218">
        <f t="shared" si="252"/>
        <v>938.90000000000009</v>
      </c>
      <c r="O242" s="218">
        <f t="shared" si="253"/>
        <v>98.8</v>
      </c>
      <c r="P242" s="218">
        <f t="shared" si="254"/>
        <v>77.28</v>
      </c>
      <c r="Q242" s="218">
        <f t="shared" si="255"/>
        <v>393</v>
      </c>
      <c r="R242" s="177">
        <f t="shared" si="263"/>
        <v>705208</v>
      </c>
      <c r="S242" s="177">
        <f t="shared" si="264"/>
        <v>74209</v>
      </c>
      <c r="T242" s="177">
        <f t="shared" si="265"/>
        <v>58045</v>
      </c>
      <c r="U242" s="177">
        <f t="shared" ref="U242" si="304">ROUND($M242*Q242,0)</f>
        <v>295182</v>
      </c>
      <c r="V242" s="177">
        <f t="shared" si="257"/>
        <v>0</v>
      </c>
      <c r="W242" s="177">
        <f t="shared" si="258"/>
        <v>1132644</v>
      </c>
      <c r="X242" s="177">
        <f t="shared" si="259"/>
        <v>36753</v>
      </c>
      <c r="Y242" s="178">
        <f t="shared" si="260"/>
        <v>3.3537094473811722E-2</v>
      </c>
      <c r="Z242" s="179">
        <f t="shared" si="261"/>
        <v>12.300000000000068</v>
      </c>
      <c r="AA242" s="180">
        <f t="shared" si="262"/>
        <v>1.6648619382782986E-2</v>
      </c>
    </row>
    <row r="243" spans="1:27" x14ac:dyDescent="0.55000000000000004">
      <c r="A243" s="229" t="s">
        <v>236</v>
      </c>
      <c r="B243" s="181">
        <f>INDEX(Data[FY2026 Budget Enrollment],MATCH(A243,Data[Label],0))+INDEX(Data[FY2026 ESA],MATCH(A243,Data[Label],0))</f>
        <v>743.5</v>
      </c>
      <c r="C243" s="91">
        <f>INDEX(Data[FY2026 TSS],MATCH(A243,Data[Label],0))</f>
        <v>1021.61</v>
      </c>
      <c r="D243" s="91">
        <f>INDEX(Data[FY2026 PD],MATCH(A243,Data[Label],0))</f>
        <v>70.819999999999993</v>
      </c>
      <c r="E243" s="91">
        <f>INDEX(Data[FY2026 Early Intervention],MATCH(A243,Data[Label],0))</f>
        <v>104.71</v>
      </c>
      <c r="F243" s="91">
        <f>INDEX(Data[FY2026 TLC],MATCH(A243,Data[Label],0))</f>
        <v>385.29</v>
      </c>
      <c r="G243" s="182">
        <f t="shared" si="247"/>
        <v>759567</v>
      </c>
      <c r="H243" s="182">
        <f t="shared" si="248"/>
        <v>52655</v>
      </c>
      <c r="I243" s="182">
        <f t="shared" si="249"/>
        <v>77852</v>
      </c>
      <c r="J243" s="182">
        <f t="shared" si="250"/>
        <v>286463</v>
      </c>
      <c r="K243" s="182">
        <f>INDEX(Data[FY2026 TSS Budget Guarantee],MATCH(A243,Data[Label],0))+INDEX(Data[FY2026 PD Budget Guarantee],MATCH(A243,Data[Label],0))+INDEX(Data[FY2026 Early Intervention Budget Guarantee],MATCH(A243,Data[Label],0))+INDEX(Data[FY2026 TLC Budget Gurantee],MATCH(A243,Data[Label],0))</f>
        <v>1813</v>
      </c>
      <c r="L243" s="182">
        <f t="shared" si="251"/>
        <v>1178350</v>
      </c>
      <c r="M243" s="181">
        <f>INDEX(Data[FY2027 Budget Enrollment],MATCH(A243,Data[Label],0))+INDEX(Data[FY2027 ESAs],MATCH(A243,Data[Label],0))</f>
        <v>789.5</v>
      </c>
      <c r="N243" s="91">
        <f t="shared" si="252"/>
        <v>1035.3</v>
      </c>
      <c r="O243" s="91">
        <f t="shared" si="253"/>
        <v>72.36999999999999</v>
      </c>
      <c r="P243" s="91">
        <f t="shared" si="254"/>
        <v>106.39999999999999</v>
      </c>
      <c r="Q243" s="91">
        <f t="shared" si="255"/>
        <v>393</v>
      </c>
      <c r="R243" s="182">
        <f t="shared" si="263"/>
        <v>817369</v>
      </c>
      <c r="S243" s="182">
        <f t="shared" si="264"/>
        <v>57136</v>
      </c>
      <c r="T243" s="182">
        <f t="shared" si="265"/>
        <v>84003</v>
      </c>
      <c r="U243" s="182">
        <f t="shared" ref="U243" si="305">ROUND($M243*Q243,)</f>
        <v>310274</v>
      </c>
      <c r="V243" s="182">
        <f t="shared" si="257"/>
        <v>0</v>
      </c>
      <c r="W243" s="182">
        <f t="shared" si="258"/>
        <v>1268782</v>
      </c>
      <c r="X243" s="182">
        <f t="shared" si="259"/>
        <v>90432</v>
      </c>
      <c r="Y243" s="183">
        <f t="shared" si="260"/>
        <v>7.674460050070013E-2</v>
      </c>
      <c r="Z243" s="184">
        <f t="shared" si="261"/>
        <v>46</v>
      </c>
      <c r="AA243" s="185">
        <f t="shared" si="262"/>
        <v>6.1869535978480161E-2</v>
      </c>
    </row>
    <row r="244" spans="1:27" x14ac:dyDescent="0.55000000000000004">
      <c r="A244" s="230" t="s">
        <v>237</v>
      </c>
      <c r="B244" s="176">
        <f>INDEX(Data[FY2026 Budget Enrollment],MATCH(A244,Data[Label],0))+INDEX(Data[FY2026 ESA],MATCH(A244,Data[Label],0))</f>
        <v>972.9</v>
      </c>
      <c r="C244" s="218">
        <f>INDEX(Data[FY2026 TSS],MATCH(A244,Data[Label],0))</f>
        <v>1038.3800000000001</v>
      </c>
      <c r="D244" s="218">
        <f>INDEX(Data[FY2026 PD],MATCH(A244,Data[Label],0))</f>
        <v>77.540000000000006</v>
      </c>
      <c r="E244" s="218">
        <f>INDEX(Data[FY2026 Early Intervention],MATCH(A244,Data[Label],0))</f>
        <v>92.46</v>
      </c>
      <c r="F244" s="218">
        <f>INDEX(Data[FY2026 TLC],MATCH(A244,Data[Label],0))</f>
        <v>385.29</v>
      </c>
      <c r="G244" s="177">
        <f t="shared" si="247"/>
        <v>1010240</v>
      </c>
      <c r="H244" s="177">
        <f t="shared" si="248"/>
        <v>75439</v>
      </c>
      <c r="I244" s="177">
        <f t="shared" si="249"/>
        <v>89954</v>
      </c>
      <c r="J244" s="177">
        <f t="shared" si="250"/>
        <v>374849</v>
      </c>
      <c r="K244" s="177">
        <f>INDEX(Data[FY2026 TSS Budget Guarantee],MATCH(A244,Data[Label],0))+INDEX(Data[FY2026 PD Budget Guarantee],MATCH(A244,Data[Label],0))+INDEX(Data[FY2026 Early Intervention Budget Guarantee],MATCH(A244,Data[Label],0))+INDEX(Data[FY2026 TLC Budget Gurantee],MATCH(A244,Data[Label],0))</f>
        <v>36774</v>
      </c>
      <c r="L244" s="177">
        <f>G244+H244+I244+J244+K244</f>
        <v>1587256</v>
      </c>
      <c r="M244" s="176">
        <f>INDEX(Data[FY2027 Budget Enrollment],MATCH(A244,Data[Label],0))+INDEX(Data[FY2027 ESAs],MATCH(A244,Data[Label],0))</f>
        <v>951.5</v>
      </c>
      <c r="N244" s="218">
        <f t="shared" si="252"/>
        <v>1052.0700000000002</v>
      </c>
      <c r="O244" s="218">
        <f t="shared" si="253"/>
        <v>79.09</v>
      </c>
      <c r="P244" s="218">
        <f t="shared" si="254"/>
        <v>94.149999999999991</v>
      </c>
      <c r="Q244" s="218">
        <f t="shared" si="255"/>
        <v>393</v>
      </c>
      <c r="R244" s="177">
        <f t="shared" si="263"/>
        <v>1001045</v>
      </c>
      <c r="S244" s="177">
        <f t="shared" si="264"/>
        <v>75254</v>
      </c>
      <c r="T244" s="177">
        <f t="shared" si="265"/>
        <v>89584</v>
      </c>
      <c r="U244" s="177">
        <f t="shared" ref="U244" si="306">ROUND($M244*Q244,0)</f>
        <v>373940</v>
      </c>
      <c r="V244" s="177">
        <f t="shared" si="257"/>
        <v>10659</v>
      </c>
      <c r="W244" s="177">
        <f t="shared" si="258"/>
        <v>1550482</v>
      </c>
      <c r="X244" s="177">
        <f t="shared" si="259"/>
        <v>-36774</v>
      </c>
      <c r="Y244" s="178">
        <f t="shared" si="260"/>
        <v>-2.316828539315649E-2</v>
      </c>
      <c r="Z244" s="179">
        <f t="shared" si="261"/>
        <v>-21.399999999999977</v>
      </c>
      <c r="AA244" s="180">
        <f t="shared" si="262"/>
        <v>-2.1996094151505784E-2</v>
      </c>
    </row>
    <row r="245" spans="1:27" x14ac:dyDescent="0.55000000000000004">
      <c r="A245" s="229" t="s">
        <v>238</v>
      </c>
      <c r="B245" s="181">
        <f>INDEX(Data[FY2026 Budget Enrollment],MATCH(A245,Data[Label],0))+INDEX(Data[FY2026 ESA],MATCH(A245,Data[Label],0))</f>
        <v>477.1</v>
      </c>
      <c r="C245" s="91">
        <f>INDEX(Data[FY2026 TSS],MATCH(A245,Data[Label],0))</f>
        <v>1273.17</v>
      </c>
      <c r="D245" s="91">
        <f>INDEX(Data[FY2026 PD],MATCH(A245,Data[Label],0))</f>
        <v>74.23</v>
      </c>
      <c r="E245" s="91">
        <f>INDEX(Data[FY2026 Early Intervention],MATCH(A245,Data[Label],0))</f>
        <v>71.08</v>
      </c>
      <c r="F245" s="91">
        <f>INDEX(Data[FY2026 TLC],MATCH(A245,Data[Label],0))</f>
        <v>385.29</v>
      </c>
      <c r="G245" s="182">
        <f t="shared" si="247"/>
        <v>607429</v>
      </c>
      <c r="H245" s="182">
        <f t="shared" si="248"/>
        <v>35415</v>
      </c>
      <c r="I245" s="182">
        <f t="shared" si="249"/>
        <v>33912</v>
      </c>
      <c r="J245" s="182">
        <f t="shared" si="250"/>
        <v>183822</v>
      </c>
      <c r="K245" s="182">
        <f>INDEX(Data[FY2026 TSS Budget Guarantee],MATCH(A245,Data[Label],0))+INDEX(Data[FY2026 PD Budget Guarantee],MATCH(A245,Data[Label],0))+INDEX(Data[FY2026 Early Intervention Budget Guarantee],MATCH(A245,Data[Label],0))+INDEX(Data[FY2026 TLC Budget Gurantee],MATCH(A245,Data[Label],0))</f>
        <v>0</v>
      </c>
      <c r="L245" s="182">
        <f t="shared" si="251"/>
        <v>860578</v>
      </c>
      <c r="M245" s="181">
        <f>INDEX(Data[FY2027 Budget Enrollment],MATCH(A245,Data[Label],0))+INDEX(Data[FY2027 ESAs],MATCH(A245,Data[Label],0))</f>
        <v>496.2</v>
      </c>
      <c r="N245" s="91">
        <f t="shared" si="252"/>
        <v>1286.8600000000001</v>
      </c>
      <c r="O245" s="91">
        <f t="shared" si="253"/>
        <v>75.78</v>
      </c>
      <c r="P245" s="91">
        <f t="shared" si="254"/>
        <v>72.77</v>
      </c>
      <c r="Q245" s="91">
        <f t="shared" si="255"/>
        <v>393</v>
      </c>
      <c r="R245" s="182">
        <f t="shared" si="263"/>
        <v>638540</v>
      </c>
      <c r="S245" s="182">
        <f t="shared" si="264"/>
        <v>37602</v>
      </c>
      <c r="T245" s="182">
        <f t="shared" si="265"/>
        <v>36108</v>
      </c>
      <c r="U245" s="182">
        <f t="shared" ref="U245" si="307">ROUND($M245*Q245,)</f>
        <v>195007</v>
      </c>
      <c r="V245" s="182">
        <f t="shared" si="257"/>
        <v>0</v>
      </c>
      <c r="W245" s="182">
        <f t="shared" si="258"/>
        <v>907257</v>
      </c>
      <c r="X245" s="182">
        <f t="shared" si="259"/>
        <v>46679</v>
      </c>
      <c r="Y245" s="183">
        <f t="shared" si="260"/>
        <v>5.4241451675501817E-2</v>
      </c>
      <c r="Z245" s="184">
        <f t="shared" si="261"/>
        <v>19.099999999999966</v>
      </c>
      <c r="AA245" s="185">
        <f t="shared" si="262"/>
        <v>4.0033535946342409E-2</v>
      </c>
    </row>
    <row r="246" spans="1:27" x14ac:dyDescent="0.55000000000000004">
      <c r="A246" s="230" t="s">
        <v>239</v>
      </c>
      <c r="B246" s="176">
        <f>INDEX(Data[FY2026 Budget Enrollment],MATCH(A246,Data[Label],0))+INDEX(Data[FY2026 ESA],MATCH(A246,Data[Label],0))</f>
        <v>356.1</v>
      </c>
      <c r="C246" s="218">
        <f>INDEX(Data[FY2026 TSS],MATCH(A246,Data[Label],0))</f>
        <v>1743.47</v>
      </c>
      <c r="D246" s="218">
        <f>INDEX(Data[FY2026 PD],MATCH(A246,Data[Label],0))</f>
        <v>102.7</v>
      </c>
      <c r="E246" s="218">
        <f>INDEX(Data[FY2026 Early Intervention],MATCH(A246,Data[Label],0))</f>
        <v>77.739999999999995</v>
      </c>
      <c r="F246" s="218">
        <f>INDEX(Data[FY2026 TLC],MATCH(A246,Data[Label],0))</f>
        <v>385.29</v>
      </c>
      <c r="G246" s="177">
        <f t="shared" si="247"/>
        <v>620850</v>
      </c>
      <c r="H246" s="177">
        <f t="shared" si="248"/>
        <v>36571</v>
      </c>
      <c r="I246" s="177">
        <f t="shared" si="249"/>
        <v>27683</v>
      </c>
      <c r="J246" s="177">
        <f t="shared" si="250"/>
        <v>137202</v>
      </c>
      <c r="K246" s="177">
        <f>INDEX(Data[FY2026 TSS Budget Guarantee],MATCH(A246,Data[Label],0))+INDEX(Data[FY2026 PD Budget Guarantee],MATCH(A246,Data[Label],0))+INDEX(Data[FY2026 Early Intervention Budget Guarantee],MATCH(A246,Data[Label],0))+INDEX(Data[FY2026 TLC Budget Gurantee],MATCH(A246,Data[Label],0))</f>
        <v>0</v>
      </c>
      <c r="L246" s="177">
        <f t="shared" si="251"/>
        <v>822306</v>
      </c>
      <c r="M246" s="176">
        <f>INDEX(Data[FY2027 Budget Enrollment],MATCH(A246,Data[Label],0))+INDEX(Data[FY2027 ESAs],MATCH(A246,Data[Label],0))</f>
        <v>357.1</v>
      </c>
      <c r="N246" s="218">
        <f t="shared" si="252"/>
        <v>1757.16</v>
      </c>
      <c r="O246" s="218">
        <f t="shared" si="253"/>
        <v>104.25</v>
      </c>
      <c r="P246" s="218">
        <f t="shared" si="254"/>
        <v>79.429999999999993</v>
      </c>
      <c r="Q246" s="218">
        <f t="shared" si="255"/>
        <v>393</v>
      </c>
      <c r="R246" s="177">
        <f t="shared" si="263"/>
        <v>627482</v>
      </c>
      <c r="S246" s="177">
        <f t="shared" si="264"/>
        <v>37228</v>
      </c>
      <c r="T246" s="177">
        <f t="shared" si="265"/>
        <v>28364</v>
      </c>
      <c r="U246" s="177">
        <f t="shared" ref="U246" si="308">ROUND($M246*Q246,0)</f>
        <v>140340</v>
      </c>
      <c r="V246" s="177">
        <f t="shared" si="257"/>
        <v>0</v>
      </c>
      <c r="W246" s="177">
        <f t="shared" si="258"/>
        <v>833414</v>
      </c>
      <c r="X246" s="177">
        <f t="shared" si="259"/>
        <v>11108</v>
      </c>
      <c r="Y246" s="178">
        <f t="shared" si="260"/>
        <v>1.3508353338051771E-2</v>
      </c>
      <c r="Z246" s="179">
        <f t="shared" si="261"/>
        <v>1</v>
      </c>
      <c r="AA246" s="180">
        <f t="shared" si="262"/>
        <v>2.808199943836001E-3</v>
      </c>
    </row>
    <row r="247" spans="1:27" x14ac:dyDescent="0.55000000000000004">
      <c r="A247" s="229" t="s">
        <v>240</v>
      </c>
      <c r="B247" s="181">
        <f>INDEX(Data[FY2026 Budget Enrollment],MATCH(A247,Data[Label],0))+INDEX(Data[FY2026 ESA],MATCH(A247,Data[Label],0))</f>
        <v>362.1</v>
      </c>
      <c r="C247" s="91">
        <f>INDEX(Data[FY2026 TSS],MATCH(A247,Data[Label],0))</f>
        <v>1258.67</v>
      </c>
      <c r="D247" s="91">
        <f>INDEX(Data[FY2026 PD],MATCH(A247,Data[Label],0))</f>
        <v>80.73</v>
      </c>
      <c r="E247" s="91">
        <f>INDEX(Data[FY2026 Early Intervention],MATCH(A247,Data[Label],0))</f>
        <v>90.41</v>
      </c>
      <c r="F247" s="91">
        <f>INDEX(Data[FY2026 TLC],MATCH(A247,Data[Label],0))</f>
        <v>385.29</v>
      </c>
      <c r="G247" s="182">
        <f t="shared" si="247"/>
        <v>455764</v>
      </c>
      <c r="H247" s="182">
        <f t="shared" si="248"/>
        <v>29232</v>
      </c>
      <c r="I247" s="182">
        <f t="shared" si="249"/>
        <v>32737</v>
      </c>
      <c r="J247" s="182">
        <f t="shared" si="250"/>
        <v>139514</v>
      </c>
      <c r="K247" s="182">
        <f>INDEX(Data[FY2026 TSS Budget Guarantee],MATCH(A247,Data[Label],0))+INDEX(Data[FY2026 PD Budget Guarantee],MATCH(A247,Data[Label],0))+INDEX(Data[FY2026 Early Intervention Budget Guarantee],MATCH(A247,Data[Label],0))+INDEX(Data[FY2026 TLC Budget Gurantee],MATCH(A247,Data[Label],0))</f>
        <v>2118</v>
      </c>
      <c r="L247" s="182">
        <f t="shared" si="251"/>
        <v>659365</v>
      </c>
      <c r="M247" s="181">
        <f>INDEX(Data[FY2027 Budget Enrollment],MATCH(A247,Data[Label],0))+INDEX(Data[FY2027 ESAs],MATCH(A247,Data[Label],0))</f>
        <v>335</v>
      </c>
      <c r="N247" s="91">
        <f t="shared" si="252"/>
        <v>1272.3600000000001</v>
      </c>
      <c r="O247" s="91">
        <f t="shared" si="253"/>
        <v>82.28</v>
      </c>
      <c r="P247" s="91">
        <f t="shared" si="254"/>
        <v>92.1</v>
      </c>
      <c r="Q247" s="91">
        <f t="shared" si="255"/>
        <v>393</v>
      </c>
      <c r="R247" s="182">
        <f t="shared" si="263"/>
        <v>426241</v>
      </c>
      <c r="S247" s="182">
        <f t="shared" si="264"/>
        <v>27564</v>
      </c>
      <c r="T247" s="182">
        <f t="shared" si="265"/>
        <v>30854</v>
      </c>
      <c r="U247" s="182">
        <f t="shared" ref="U247" si="309">ROUND($M247*Q247,)</f>
        <v>131655</v>
      </c>
      <c r="V247" s="182">
        <f t="shared" si="257"/>
        <v>40933</v>
      </c>
      <c r="W247" s="182">
        <f t="shared" si="258"/>
        <v>657247</v>
      </c>
      <c r="X247" s="182">
        <f t="shared" si="259"/>
        <v>-2118</v>
      </c>
      <c r="Y247" s="183">
        <f t="shared" si="260"/>
        <v>-3.2121814169693568E-3</v>
      </c>
      <c r="Z247" s="184">
        <f t="shared" si="261"/>
        <v>-27.100000000000023</v>
      </c>
      <c r="AA247" s="185">
        <f t="shared" si="262"/>
        <v>-7.484120408726877E-2</v>
      </c>
    </row>
    <row r="248" spans="1:27" x14ac:dyDescent="0.55000000000000004">
      <c r="A248" s="230" t="s">
        <v>241</v>
      </c>
      <c r="B248" s="176">
        <f>INDEX(Data[FY2026 Budget Enrollment],MATCH(A248,Data[Label],0))+INDEX(Data[FY2026 ESA],MATCH(A248,Data[Label],0))</f>
        <v>728</v>
      </c>
      <c r="C248" s="218">
        <f>INDEX(Data[FY2026 TSS],MATCH(A248,Data[Label],0))</f>
        <v>1038.27</v>
      </c>
      <c r="D248" s="218">
        <f>INDEX(Data[FY2026 PD],MATCH(A248,Data[Label],0))</f>
        <v>74.87</v>
      </c>
      <c r="E248" s="218">
        <f>INDEX(Data[FY2026 Early Intervention],MATCH(A248,Data[Label],0))</f>
        <v>72.13</v>
      </c>
      <c r="F248" s="218">
        <f>INDEX(Data[FY2026 TLC],MATCH(A248,Data[Label],0))</f>
        <v>385.29</v>
      </c>
      <c r="G248" s="177">
        <f t="shared" si="247"/>
        <v>755861</v>
      </c>
      <c r="H248" s="177">
        <f t="shared" si="248"/>
        <v>54505</v>
      </c>
      <c r="I248" s="177">
        <f t="shared" si="249"/>
        <v>52511</v>
      </c>
      <c r="J248" s="177">
        <f t="shared" si="250"/>
        <v>280491</v>
      </c>
      <c r="K248" s="177">
        <f>INDEX(Data[FY2026 TSS Budget Guarantee],MATCH(A248,Data[Label],0))+INDEX(Data[FY2026 PD Budget Guarantee],MATCH(A248,Data[Label],0))+INDEX(Data[FY2026 Early Intervention Budget Guarantee],MATCH(A248,Data[Label],0))+INDEX(Data[FY2026 TLC Budget Gurantee],MATCH(A248,Data[Label],0))</f>
        <v>0</v>
      </c>
      <c r="L248" s="177">
        <f t="shared" si="251"/>
        <v>1143368</v>
      </c>
      <c r="M248" s="176">
        <f>INDEX(Data[FY2027 Budget Enrollment],MATCH(A248,Data[Label],0))+INDEX(Data[FY2027 ESAs],MATCH(A248,Data[Label],0))</f>
        <v>726</v>
      </c>
      <c r="N248" s="218">
        <f t="shared" si="252"/>
        <v>1051.96</v>
      </c>
      <c r="O248" s="218">
        <f t="shared" si="253"/>
        <v>76.42</v>
      </c>
      <c r="P248" s="218">
        <f t="shared" si="254"/>
        <v>73.819999999999993</v>
      </c>
      <c r="Q248" s="218">
        <f t="shared" si="255"/>
        <v>393</v>
      </c>
      <c r="R248" s="177">
        <f t="shared" si="263"/>
        <v>763723</v>
      </c>
      <c r="S248" s="177">
        <f t="shared" si="264"/>
        <v>55481</v>
      </c>
      <c r="T248" s="177">
        <f t="shared" si="265"/>
        <v>53593</v>
      </c>
      <c r="U248" s="177">
        <f t="shared" ref="U248" si="310">ROUND($M248*Q248,0)</f>
        <v>285318</v>
      </c>
      <c r="V248" s="177">
        <f t="shared" si="257"/>
        <v>0</v>
      </c>
      <c r="W248" s="177">
        <f t="shared" si="258"/>
        <v>1158115</v>
      </c>
      <c r="X248" s="177">
        <f t="shared" si="259"/>
        <v>14747</v>
      </c>
      <c r="Y248" s="178">
        <f t="shared" si="260"/>
        <v>1.289785965673344E-2</v>
      </c>
      <c r="Z248" s="179">
        <f t="shared" si="261"/>
        <v>-2</v>
      </c>
      <c r="AA248" s="180">
        <f t="shared" si="262"/>
        <v>-2.7472527472527475E-3</v>
      </c>
    </row>
    <row r="249" spans="1:27" x14ac:dyDescent="0.55000000000000004">
      <c r="A249" s="229" t="s">
        <v>242</v>
      </c>
      <c r="B249" s="181">
        <f>INDEX(Data[FY2026 Budget Enrollment],MATCH(A249,Data[Label],0))+INDEX(Data[FY2026 ESA],MATCH(A249,Data[Label],0))</f>
        <v>1120.7</v>
      </c>
      <c r="C249" s="91">
        <f>INDEX(Data[FY2026 TSS],MATCH(A249,Data[Label],0))</f>
        <v>917.28</v>
      </c>
      <c r="D249" s="91">
        <f>INDEX(Data[FY2026 PD],MATCH(A249,Data[Label],0))</f>
        <v>74.680000000000007</v>
      </c>
      <c r="E249" s="91">
        <f>INDEX(Data[FY2026 Early Intervention],MATCH(A249,Data[Label],0))</f>
        <v>95.62</v>
      </c>
      <c r="F249" s="91">
        <f>INDEX(Data[FY2026 TLC],MATCH(A249,Data[Label],0))</f>
        <v>385.29</v>
      </c>
      <c r="G249" s="182">
        <f t="shared" si="247"/>
        <v>1027996</v>
      </c>
      <c r="H249" s="182">
        <f t="shared" si="248"/>
        <v>83694</v>
      </c>
      <c r="I249" s="182">
        <f t="shared" si="249"/>
        <v>107161</v>
      </c>
      <c r="J249" s="182">
        <f t="shared" si="250"/>
        <v>431795</v>
      </c>
      <c r="K249" s="182">
        <f>INDEX(Data[FY2026 TSS Budget Guarantee],MATCH(A249,Data[Label],0))+INDEX(Data[FY2026 PD Budget Guarantee],MATCH(A249,Data[Label],0))+INDEX(Data[FY2026 Early Intervention Budget Guarantee],MATCH(A249,Data[Label],0))+INDEX(Data[FY2026 TLC Budget Gurantee],MATCH(A249,Data[Label],0))</f>
        <v>0</v>
      </c>
      <c r="L249" s="182">
        <f t="shared" si="251"/>
        <v>1650646</v>
      </c>
      <c r="M249" s="181">
        <f>INDEX(Data[FY2027 Budget Enrollment],MATCH(A249,Data[Label],0))+INDEX(Data[FY2027 ESAs],MATCH(A249,Data[Label],0))</f>
        <v>1197.7</v>
      </c>
      <c r="N249" s="91">
        <f t="shared" si="252"/>
        <v>930.97</v>
      </c>
      <c r="O249" s="91">
        <f t="shared" si="253"/>
        <v>76.23</v>
      </c>
      <c r="P249" s="91">
        <f t="shared" si="254"/>
        <v>97.31</v>
      </c>
      <c r="Q249" s="91">
        <f t="shared" si="255"/>
        <v>393</v>
      </c>
      <c r="R249" s="182">
        <f t="shared" si="263"/>
        <v>1115023</v>
      </c>
      <c r="S249" s="182">
        <f t="shared" si="264"/>
        <v>91301</v>
      </c>
      <c r="T249" s="182">
        <f t="shared" si="265"/>
        <v>116548</v>
      </c>
      <c r="U249" s="182">
        <f t="shared" ref="U249" si="311">ROUND($M249*Q249,)</f>
        <v>470696</v>
      </c>
      <c r="V249" s="182">
        <f t="shared" si="257"/>
        <v>0</v>
      </c>
      <c r="W249" s="182">
        <f t="shared" si="258"/>
        <v>1793568</v>
      </c>
      <c r="X249" s="182">
        <f t="shared" si="259"/>
        <v>142922</v>
      </c>
      <c r="Y249" s="183">
        <f t="shared" si="260"/>
        <v>8.6585494406432387E-2</v>
      </c>
      <c r="Z249" s="184">
        <f t="shared" si="261"/>
        <v>77</v>
      </c>
      <c r="AA249" s="185">
        <f t="shared" si="262"/>
        <v>6.8707058088694567E-2</v>
      </c>
    </row>
    <row r="250" spans="1:27" x14ac:dyDescent="0.55000000000000004">
      <c r="A250" s="230" t="s">
        <v>243</v>
      </c>
      <c r="B250" s="176">
        <f>INDEX(Data[FY2026 Budget Enrollment],MATCH(A250,Data[Label],0))+INDEX(Data[FY2026 ESA],MATCH(A250,Data[Label],0))</f>
        <v>1012.6</v>
      </c>
      <c r="C250" s="218">
        <f>INDEX(Data[FY2026 TSS],MATCH(A250,Data[Label],0))</f>
        <v>820.79</v>
      </c>
      <c r="D250" s="218">
        <f>INDEX(Data[FY2026 PD],MATCH(A250,Data[Label],0))</f>
        <v>82.29</v>
      </c>
      <c r="E250" s="218">
        <f>INDEX(Data[FY2026 Early Intervention],MATCH(A250,Data[Label],0))</f>
        <v>77.63</v>
      </c>
      <c r="F250" s="218">
        <f>INDEX(Data[FY2026 TLC],MATCH(A250,Data[Label],0))</f>
        <v>385.29</v>
      </c>
      <c r="G250" s="177">
        <f t="shared" si="247"/>
        <v>831132</v>
      </c>
      <c r="H250" s="177">
        <f t="shared" si="248"/>
        <v>83327</v>
      </c>
      <c r="I250" s="177">
        <f t="shared" si="249"/>
        <v>78608</v>
      </c>
      <c r="J250" s="177">
        <f t="shared" si="250"/>
        <v>390145</v>
      </c>
      <c r="K250" s="177">
        <f>INDEX(Data[FY2026 TSS Budget Guarantee],MATCH(A250,Data[Label],0))+INDEX(Data[FY2026 PD Budget Guarantee],MATCH(A250,Data[Label],0))+INDEX(Data[FY2026 Early Intervention Budget Guarantee],MATCH(A250,Data[Label],0))+INDEX(Data[FY2026 TLC Budget Gurantee],MATCH(A250,Data[Label],0))</f>
        <v>0</v>
      </c>
      <c r="L250" s="177">
        <f t="shared" si="251"/>
        <v>1383212</v>
      </c>
      <c r="M250" s="176">
        <f>INDEX(Data[FY2027 Budget Enrollment],MATCH(A250,Data[Label],0))+INDEX(Data[FY2027 ESAs],MATCH(A250,Data[Label],0))</f>
        <v>1010.9</v>
      </c>
      <c r="N250" s="218">
        <f t="shared" si="252"/>
        <v>834.48</v>
      </c>
      <c r="O250" s="218">
        <f t="shared" si="253"/>
        <v>83.84</v>
      </c>
      <c r="P250" s="218">
        <f t="shared" si="254"/>
        <v>79.319999999999993</v>
      </c>
      <c r="Q250" s="218">
        <f t="shared" si="255"/>
        <v>393</v>
      </c>
      <c r="R250" s="177">
        <f t="shared" si="263"/>
        <v>843576</v>
      </c>
      <c r="S250" s="177">
        <f t="shared" si="264"/>
        <v>84754</v>
      </c>
      <c r="T250" s="177">
        <f t="shared" si="265"/>
        <v>80185</v>
      </c>
      <c r="U250" s="177">
        <f t="shared" ref="U250" si="312">ROUND($M250*Q250,0)</f>
        <v>397284</v>
      </c>
      <c r="V250" s="177">
        <f t="shared" si="257"/>
        <v>0</v>
      </c>
      <c r="W250" s="177">
        <f t="shared" si="258"/>
        <v>1405799</v>
      </c>
      <c r="X250" s="177">
        <f t="shared" si="259"/>
        <v>22587</v>
      </c>
      <c r="Y250" s="178">
        <f t="shared" si="260"/>
        <v>1.6329384071277576E-2</v>
      </c>
      <c r="Z250" s="179">
        <f t="shared" si="261"/>
        <v>-1.7000000000000455</v>
      </c>
      <c r="AA250" s="180">
        <f t="shared" si="262"/>
        <v>-1.6788465336757313E-3</v>
      </c>
    </row>
    <row r="251" spans="1:27" x14ac:dyDescent="0.55000000000000004">
      <c r="A251" s="229" t="s">
        <v>244</v>
      </c>
      <c r="B251" s="181">
        <f>INDEX(Data[FY2026 Budget Enrollment],MATCH(A251,Data[Label],0))+INDEX(Data[FY2026 ESA],MATCH(A251,Data[Label],0))</f>
        <v>406</v>
      </c>
      <c r="C251" s="91">
        <f>INDEX(Data[FY2026 TSS],MATCH(A251,Data[Label],0))</f>
        <v>1419.88</v>
      </c>
      <c r="D251" s="91">
        <f>INDEX(Data[FY2026 PD],MATCH(A251,Data[Label],0))</f>
        <v>80.22</v>
      </c>
      <c r="E251" s="91">
        <f>INDEX(Data[FY2026 Early Intervention],MATCH(A251,Data[Label],0))</f>
        <v>76.930000000000007</v>
      </c>
      <c r="F251" s="91">
        <f>INDEX(Data[FY2026 TLC],MATCH(A251,Data[Label],0))</f>
        <v>385.29</v>
      </c>
      <c r="G251" s="182">
        <f t="shared" si="247"/>
        <v>576471</v>
      </c>
      <c r="H251" s="182">
        <f t="shared" si="248"/>
        <v>32569</v>
      </c>
      <c r="I251" s="182">
        <f t="shared" si="249"/>
        <v>31234</v>
      </c>
      <c r="J251" s="182">
        <f t="shared" si="250"/>
        <v>156428</v>
      </c>
      <c r="K251" s="182">
        <f>INDEX(Data[FY2026 TSS Budget Guarantee],MATCH(A251,Data[Label],0))+INDEX(Data[FY2026 PD Budget Guarantee],MATCH(A251,Data[Label],0))+INDEX(Data[FY2026 Early Intervention Budget Guarantee],MATCH(A251,Data[Label],0))+INDEX(Data[FY2026 TLC Budget Gurantee],MATCH(A251,Data[Label],0))</f>
        <v>3620</v>
      </c>
      <c r="L251" s="182">
        <f t="shared" si="251"/>
        <v>800322</v>
      </c>
      <c r="M251" s="181">
        <f>INDEX(Data[FY2027 Budget Enrollment],MATCH(A251,Data[Label],0))+INDEX(Data[FY2027 ESAs],MATCH(A251,Data[Label],0))</f>
        <v>395</v>
      </c>
      <c r="N251" s="91">
        <f t="shared" si="252"/>
        <v>1433.5700000000002</v>
      </c>
      <c r="O251" s="91">
        <f t="shared" si="253"/>
        <v>81.77</v>
      </c>
      <c r="P251" s="91">
        <f t="shared" si="254"/>
        <v>78.62</v>
      </c>
      <c r="Q251" s="91">
        <f t="shared" si="255"/>
        <v>393</v>
      </c>
      <c r="R251" s="182">
        <f t="shared" si="263"/>
        <v>566260</v>
      </c>
      <c r="S251" s="182">
        <f t="shared" si="264"/>
        <v>32299</v>
      </c>
      <c r="T251" s="182">
        <f t="shared" si="265"/>
        <v>31055</v>
      </c>
      <c r="U251" s="182">
        <f t="shared" ref="U251" si="313">ROUND($M251*Q251,)</f>
        <v>155235</v>
      </c>
      <c r="V251" s="182">
        <f t="shared" si="257"/>
        <v>11853</v>
      </c>
      <c r="W251" s="182">
        <f t="shared" si="258"/>
        <v>796702</v>
      </c>
      <c r="X251" s="182">
        <f t="shared" si="259"/>
        <v>-3620</v>
      </c>
      <c r="Y251" s="183">
        <f t="shared" si="260"/>
        <v>-4.5231794202833363E-3</v>
      </c>
      <c r="Z251" s="184">
        <f t="shared" si="261"/>
        <v>-11</v>
      </c>
      <c r="AA251" s="185">
        <f t="shared" si="262"/>
        <v>-2.7093596059113302E-2</v>
      </c>
    </row>
    <row r="252" spans="1:27" x14ac:dyDescent="0.55000000000000004">
      <c r="A252" s="230" t="s">
        <v>245</v>
      </c>
      <c r="B252" s="176">
        <f>INDEX(Data[FY2026 Budget Enrollment],MATCH(A252,Data[Label],0))+INDEX(Data[FY2026 ESA],MATCH(A252,Data[Label],0))</f>
        <v>193</v>
      </c>
      <c r="C252" s="218">
        <f>INDEX(Data[FY2026 TSS],MATCH(A252,Data[Label],0))</f>
        <v>1544.1</v>
      </c>
      <c r="D252" s="218">
        <f>INDEX(Data[FY2026 PD],MATCH(A252,Data[Label],0))</f>
        <v>82.55</v>
      </c>
      <c r="E252" s="218">
        <f>INDEX(Data[FY2026 Early Intervention],MATCH(A252,Data[Label],0))</f>
        <v>89.94</v>
      </c>
      <c r="F252" s="218">
        <f>INDEX(Data[FY2026 TLC],MATCH(A252,Data[Label],0))</f>
        <v>385.29</v>
      </c>
      <c r="G252" s="177">
        <f t="shared" si="247"/>
        <v>298011</v>
      </c>
      <c r="H252" s="177">
        <f t="shared" si="248"/>
        <v>15932</v>
      </c>
      <c r="I252" s="177">
        <f t="shared" si="249"/>
        <v>17358</v>
      </c>
      <c r="J252" s="177">
        <f t="shared" si="250"/>
        <v>74361</v>
      </c>
      <c r="K252" s="177">
        <f>INDEX(Data[FY2026 TSS Budget Guarantee],MATCH(A252,Data[Label],0))+INDEX(Data[FY2026 PD Budget Guarantee],MATCH(A252,Data[Label],0))+INDEX(Data[FY2026 Early Intervention Budget Guarantee],MATCH(A252,Data[Label],0))+INDEX(Data[FY2026 TLC Budget Gurantee],MATCH(A252,Data[Label],0))</f>
        <v>0</v>
      </c>
      <c r="L252" s="177">
        <f t="shared" si="251"/>
        <v>405662</v>
      </c>
      <c r="M252" s="176">
        <f>INDEX(Data[FY2027 Budget Enrollment],MATCH(A252,Data[Label],0))+INDEX(Data[FY2027 ESAs],MATCH(A252,Data[Label],0))</f>
        <v>195</v>
      </c>
      <c r="N252" s="218">
        <f t="shared" si="252"/>
        <v>1557.79</v>
      </c>
      <c r="O252" s="218">
        <f t="shared" si="253"/>
        <v>84.1</v>
      </c>
      <c r="P252" s="218">
        <f t="shared" si="254"/>
        <v>91.63</v>
      </c>
      <c r="Q252" s="218">
        <f t="shared" si="255"/>
        <v>393</v>
      </c>
      <c r="R252" s="177">
        <f t="shared" si="263"/>
        <v>303769</v>
      </c>
      <c r="S252" s="177">
        <f t="shared" si="264"/>
        <v>16400</v>
      </c>
      <c r="T252" s="177">
        <f t="shared" si="265"/>
        <v>17868</v>
      </c>
      <c r="U252" s="177">
        <f t="shared" ref="U252" si="314">ROUND($M252*Q252,0)</f>
        <v>76635</v>
      </c>
      <c r="V252" s="177">
        <f t="shared" si="257"/>
        <v>0</v>
      </c>
      <c r="W252" s="177">
        <f t="shared" si="258"/>
        <v>414672</v>
      </c>
      <c r="X252" s="177">
        <f t="shared" si="259"/>
        <v>9010</v>
      </c>
      <c r="Y252" s="178">
        <f t="shared" si="260"/>
        <v>2.2210608831983277E-2</v>
      </c>
      <c r="Z252" s="179">
        <f t="shared" si="261"/>
        <v>2</v>
      </c>
      <c r="AA252" s="180">
        <f t="shared" si="262"/>
        <v>1.0362694300518135E-2</v>
      </c>
    </row>
    <row r="253" spans="1:27" x14ac:dyDescent="0.55000000000000004">
      <c r="A253" s="229" t="s">
        <v>246</v>
      </c>
      <c r="B253" s="181">
        <f>INDEX(Data[FY2026 Budget Enrollment],MATCH(A253,Data[Label],0))+INDEX(Data[FY2026 ESA],MATCH(A253,Data[Label],0))</f>
        <v>1071.4000000000001</v>
      </c>
      <c r="C253" s="91">
        <f>INDEX(Data[FY2026 TSS],MATCH(A253,Data[Label],0))</f>
        <v>879.12</v>
      </c>
      <c r="D253" s="91">
        <f>INDEX(Data[FY2026 PD],MATCH(A253,Data[Label],0))</f>
        <v>78.59</v>
      </c>
      <c r="E253" s="91">
        <f>INDEX(Data[FY2026 Early Intervention],MATCH(A253,Data[Label],0))</f>
        <v>92.91</v>
      </c>
      <c r="F253" s="91">
        <f>INDEX(Data[FY2026 TLC],MATCH(A253,Data[Label],0))</f>
        <v>385.29</v>
      </c>
      <c r="G253" s="182">
        <f t="shared" si="247"/>
        <v>941889</v>
      </c>
      <c r="H253" s="182">
        <f t="shared" si="248"/>
        <v>84201</v>
      </c>
      <c r="I253" s="182">
        <f t="shared" si="249"/>
        <v>99544</v>
      </c>
      <c r="J253" s="182">
        <f t="shared" si="250"/>
        <v>412800</v>
      </c>
      <c r="K253" s="182">
        <f>INDEX(Data[FY2026 TSS Budget Guarantee],MATCH(A253,Data[Label],0))+INDEX(Data[FY2026 PD Budget Guarantee],MATCH(A253,Data[Label],0))+INDEX(Data[FY2026 Early Intervention Budget Guarantee],MATCH(A253,Data[Label],0))+INDEX(Data[FY2026 TLC Budget Gurantee],MATCH(A253,Data[Label],0))</f>
        <v>0</v>
      </c>
      <c r="L253" s="182">
        <f t="shared" si="251"/>
        <v>1538434</v>
      </c>
      <c r="M253" s="181">
        <f>INDEX(Data[FY2027 Budget Enrollment],MATCH(A253,Data[Label],0))+INDEX(Data[FY2027 ESAs],MATCH(A253,Data[Label],0))</f>
        <v>1079.9000000000001</v>
      </c>
      <c r="N253" s="91">
        <f t="shared" si="252"/>
        <v>892.81000000000006</v>
      </c>
      <c r="O253" s="91">
        <f t="shared" si="253"/>
        <v>80.14</v>
      </c>
      <c r="P253" s="91">
        <f t="shared" si="254"/>
        <v>94.6</v>
      </c>
      <c r="Q253" s="91">
        <f t="shared" si="255"/>
        <v>393</v>
      </c>
      <c r="R253" s="182">
        <f t="shared" si="263"/>
        <v>964146</v>
      </c>
      <c r="S253" s="182">
        <f t="shared" si="264"/>
        <v>86543</v>
      </c>
      <c r="T253" s="182">
        <f t="shared" si="265"/>
        <v>102159</v>
      </c>
      <c r="U253" s="182">
        <f t="shared" ref="U253" si="315">ROUND($M253*Q253,)</f>
        <v>424401</v>
      </c>
      <c r="V253" s="182">
        <f t="shared" si="257"/>
        <v>0</v>
      </c>
      <c r="W253" s="182">
        <f t="shared" si="258"/>
        <v>1577249</v>
      </c>
      <c r="X253" s="182">
        <f t="shared" si="259"/>
        <v>38815</v>
      </c>
      <c r="Y253" s="183">
        <f t="shared" si="260"/>
        <v>2.5230201620609009E-2</v>
      </c>
      <c r="Z253" s="184">
        <f t="shared" si="261"/>
        <v>8.5</v>
      </c>
      <c r="AA253" s="185">
        <f t="shared" si="262"/>
        <v>7.9335448945305198E-3</v>
      </c>
    </row>
    <row r="254" spans="1:27" x14ac:dyDescent="0.55000000000000004">
      <c r="A254" s="230" t="s">
        <v>247</v>
      </c>
      <c r="B254" s="176">
        <f>INDEX(Data[FY2026 Budget Enrollment],MATCH(A254,Data[Label],0))+INDEX(Data[FY2026 ESA],MATCH(A254,Data[Label],0))</f>
        <v>366</v>
      </c>
      <c r="C254" s="218">
        <f>INDEX(Data[FY2026 TSS],MATCH(A254,Data[Label],0))</f>
        <v>1206.6300000000001</v>
      </c>
      <c r="D254" s="218">
        <f>INDEX(Data[FY2026 PD],MATCH(A254,Data[Label],0))</f>
        <v>81.540000000000006</v>
      </c>
      <c r="E254" s="218">
        <f>INDEX(Data[FY2026 Early Intervention],MATCH(A254,Data[Label],0))</f>
        <v>73.38</v>
      </c>
      <c r="F254" s="218">
        <f>INDEX(Data[FY2026 TLC],MATCH(A254,Data[Label],0))</f>
        <v>385.29</v>
      </c>
      <c r="G254" s="177">
        <f t="shared" si="247"/>
        <v>441627</v>
      </c>
      <c r="H254" s="177">
        <f t="shared" si="248"/>
        <v>29844</v>
      </c>
      <c r="I254" s="177">
        <f t="shared" si="249"/>
        <v>26857</v>
      </c>
      <c r="J254" s="177">
        <f t="shared" si="250"/>
        <v>141016</v>
      </c>
      <c r="K254" s="177">
        <f>INDEX(Data[FY2026 TSS Budget Guarantee],MATCH(A254,Data[Label],0))+INDEX(Data[FY2026 PD Budget Guarantee],MATCH(A254,Data[Label],0))+INDEX(Data[FY2026 Early Intervention Budget Guarantee],MATCH(A254,Data[Label],0))+INDEX(Data[FY2026 TLC Budget Gurantee],MATCH(A254,Data[Label],0))</f>
        <v>0</v>
      </c>
      <c r="L254" s="177">
        <f t="shared" si="251"/>
        <v>639344</v>
      </c>
      <c r="M254" s="176">
        <f>INDEX(Data[FY2027 Budget Enrollment],MATCH(A254,Data[Label],0))+INDEX(Data[FY2027 ESAs],MATCH(A254,Data[Label],0))</f>
        <v>373.1</v>
      </c>
      <c r="N254" s="218">
        <f t="shared" si="252"/>
        <v>1220.3200000000002</v>
      </c>
      <c r="O254" s="218">
        <f t="shared" si="253"/>
        <v>83.09</v>
      </c>
      <c r="P254" s="218">
        <f t="shared" si="254"/>
        <v>75.069999999999993</v>
      </c>
      <c r="Q254" s="218">
        <f t="shared" si="255"/>
        <v>393</v>
      </c>
      <c r="R254" s="177">
        <f t="shared" si="263"/>
        <v>455301</v>
      </c>
      <c r="S254" s="177">
        <f t="shared" si="264"/>
        <v>31001</v>
      </c>
      <c r="T254" s="177">
        <f t="shared" si="265"/>
        <v>28009</v>
      </c>
      <c r="U254" s="177">
        <f t="shared" ref="U254" si="316">ROUND($M254*Q254,0)</f>
        <v>146628</v>
      </c>
      <c r="V254" s="177">
        <f t="shared" si="257"/>
        <v>0</v>
      </c>
      <c r="W254" s="177">
        <f t="shared" si="258"/>
        <v>660939</v>
      </c>
      <c r="X254" s="177">
        <f t="shared" si="259"/>
        <v>21595</v>
      </c>
      <c r="Y254" s="178">
        <f t="shared" si="260"/>
        <v>3.3776808728947172E-2</v>
      </c>
      <c r="Z254" s="179">
        <f t="shared" si="261"/>
        <v>7.1000000000000227</v>
      </c>
      <c r="AA254" s="180">
        <f t="shared" si="262"/>
        <v>1.9398907103825198E-2</v>
      </c>
    </row>
    <row r="255" spans="1:27" x14ac:dyDescent="0.55000000000000004">
      <c r="A255" s="229" t="s">
        <v>248</v>
      </c>
      <c r="B255" s="181">
        <f>INDEX(Data[FY2026 Budget Enrollment],MATCH(A255,Data[Label],0))+INDEX(Data[FY2026 ESA],MATCH(A255,Data[Label],0))</f>
        <v>232.1</v>
      </c>
      <c r="C255" s="91">
        <f>INDEX(Data[FY2026 TSS],MATCH(A255,Data[Label],0))</f>
        <v>1260.79</v>
      </c>
      <c r="D255" s="91">
        <f>INDEX(Data[FY2026 PD],MATCH(A255,Data[Label],0))</f>
        <v>57.26</v>
      </c>
      <c r="E255" s="91">
        <f>INDEX(Data[FY2026 Early Intervention],MATCH(A255,Data[Label],0))</f>
        <v>74.150000000000006</v>
      </c>
      <c r="F255" s="91">
        <f>INDEX(Data[FY2026 TLC],MATCH(A255,Data[Label],0))</f>
        <v>385.29</v>
      </c>
      <c r="G255" s="182">
        <f t="shared" si="247"/>
        <v>292629</v>
      </c>
      <c r="H255" s="182">
        <f t="shared" si="248"/>
        <v>13290</v>
      </c>
      <c r="I255" s="182">
        <f t="shared" si="249"/>
        <v>17210</v>
      </c>
      <c r="J255" s="182">
        <f t="shared" si="250"/>
        <v>89426</v>
      </c>
      <c r="K255" s="182">
        <f>INDEX(Data[FY2026 TSS Budget Guarantee],MATCH(A255,Data[Label],0))+INDEX(Data[FY2026 PD Budget Guarantee],MATCH(A255,Data[Label],0))+INDEX(Data[FY2026 Early Intervention Budget Guarantee],MATCH(A255,Data[Label],0))+INDEX(Data[FY2026 TLC Budget Gurantee],MATCH(A255,Data[Label],0))</f>
        <v>1001</v>
      </c>
      <c r="L255" s="182">
        <f t="shared" si="251"/>
        <v>413556</v>
      </c>
      <c r="M255" s="181">
        <f>INDEX(Data[FY2027 Budget Enrollment],MATCH(A255,Data[Label],0))+INDEX(Data[FY2027 ESAs],MATCH(A255,Data[Label],0))</f>
        <v>235.1</v>
      </c>
      <c r="N255" s="91">
        <f t="shared" si="252"/>
        <v>1274.48</v>
      </c>
      <c r="O255" s="91">
        <f t="shared" si="253"/>
        <v>58.809999999999995</v>
      </c>
      <c r="P255" s="91">
        <f t="shared" si="254"/>
        <v>75.84</v>
      </c>
      <c r="Q255" s="91">
        <f t="shared" si="255"/>
        <v>393</v>
      </c>
      <c r="R255" s="182">
        <f t="shared" si="263"/>
        <v>299630</v>
      </c>
      <c r="S255" s="182">
        <f t="shared" si="264"/>
        <v>13826</v>
      </c>
      <c r="T255" s="182">
        <f t="shared" si="265"/>
        <v>17830</v>
      </c>
      <c r="U255" s="182">
        <f t="shared" ref="U255" si="317">ROUND($M255*Q255,)</f>
        <v>92394</v>
      </c>
      <c r="V255" s="182">
        <f t="shared" si="257"/>
        <v>0</v>
      </c>
      <c r="W255" s="182">
        <f t="shared" si="258"/>
        <v>423680</v>
      </c>
      <c r="X255" s="182">
        <f t="shared" si="259"/>
        <v>10124</v>
      </c>
      <c r="Y255" s="183">
        <f t="shared" si="260"/>
        <v>2.4480360579945643E-2</v>
      </c>
      <c r="Z255" s="184">
        <f t="shared" si="261"/>
        <v>3</v>
      </c>
      <c r="AA255" s="185">
        <f t="shared" si="262"/>
        <v>1.2925463162429988E-2</v>
      </c>
    </row>
    <row r="256" spans="1:27" x14ac:dyDescent="0.55000000000000004">
      <c r="A256" s="230" t="s">
        <v>249</v>
      </c>
      <c r="B256" s="176">
        <f>INDEX(Data[FY2026 Budget Enrollment],MATCH(A256,Data[Label],0))+INDEX(Data[FY2026 ESA],MATCH(A256,Data[Label],0))</f>
        <v>1455.1</v>
      </c>
      <c r="C256" s="218">
        <f>INDEX(Data[FY2026 TSS],MATCH(A256,Data[Label],0))</f>
        <v>745.97</v>
      </c>
      <c r="D256" s="218">
        <f>INDEX(Data[FY2026 PD],MATCH(A256,Data[Label],0))</f>
        <v>82.99</v>
      </c>
      <c r="E256" s="218">
        <f>INDEX(Data[FY2026 Early Intervention],MATCH(A256,Data[Label],0))</f>
        <v>82.15</v>
      </c>
      <c r="F256" s="218">
        <f>INDEX(Data[FY2026 TLC],MATCH(A256,Data[Label],0))</f>
        <v>385.29</v>
      </c>
      <c r="G256" s="177">
        <f t="shared" si="247"/>
        <v>1085461</v>
      </c>
      <c r="H256" s="177">
        <f t="shared" si="248"/>
        <v>120759</v>
      </c>
      <c r="I256" s="177">
        <f t="shared" si="249"/>
        <v>119536</v>
      </c>
      <c r="J256" s="177">
        <f t="shared" si="250"/>
        <v>560635</v>
      </c>
      <c r="K256" s="177">
        <f>INDEX(Data[FY2026 TSS Budget Guarantee],MATCH(A256,Data[Label],0))+INDEX(Data[FY2026 PD Budget Guarantee],MATCH(A256,Data[Label],0))+INDEX(Data[FY2026 Early Intervention Budget Guarantee],MATCH(A256,Data[Label],0))+INDEX(Data[FY2026 TLC Budget Gurantee],MATCH(A256,Data[Label],0))</f>
        <v>0</v>
      </c>
      <c r="L256" s="177">
        <f t="shared" si="251"/>
        <v>1886391</v>
      </c>
      <c r="M256" s="176">
        <f>INDEX(Data[FY2027 Budget Enrollment],MATCH(A256,Data[Label],0))+INDEX(Data[FY2027 ESAs],MATCH(A256,Data[Label],0))</f>
        <v>1441.7</v>
      </c>
      <c r="N256" s="218">
        <f t="shared" si="252"/>
        <v>759.66000000000008</v>
      </c>
      <c r="O256" s="218">
        <f t="shared" si="253"/>
        <v>84.539999999999992</v>
      </c>
      <c r="P256" s="218">
        <f t="shared" si="254"/>
        <v>83.84</v>
      </c>
      <c r="Q256" s="218">
        <f t="shared" si="255"/>
        <v>393</v>
      </c>
      <c r="R256" s="177">
        <f t="shared" si="263"/>
        <v>1095202</v>
      </c>
      <c r="S256" s="177">
        <f t="shared" si="264"/>
        <v>121881</v>
      </c>
      <c r="T256" s="177">
        <f t="shared" si="265"/>
        <v>120872</v>
      </c>
      <c r="U256" s="177">
        <f t="shared" ref="U256" si="318">ROUND($M256*Q256,0)</f>
        <v>566588</v>
      </c>
      <c r="V256" s="177">
        <f t="shared" si="257"/>
        <v>0</v>
      </c>
      <c r="W256" s="177">
        <f t="shared" si="258"/>
        <v>1904543</v>
      </c>
      <c r="X256" s="177">
        <f t="shared" si="259"/>
        <v>18152</v>
      </c>
      <c r="Y256" s="178">
        <f t="shared" si="260"/>
        <v>9.6226074021769619E-3</v>
      </c>
      <c r="Z256" s="179">
        <f t="shared" si="261"/>
        <v>-13.399999999999864</v>
      </c>
      <c r="AA256" s="180">
        <f t="shared" si="262"/>
        <v>-9.2089890729158581E-3</v>
      </c>
    </row>
    <row r="257" spans="1:27" x14ac:dyDescent="0.55000000000000004">
      <c r="A257" s="229" t="s">
        <v>250</v>
      </c>
      <c r="B257" s="181">
        <f>INDEX(Data[FY2026 Budget Enrollment],MATCH(A257,Data[Label],0))+INDEX(Data[FY2026 ESA],MATCH(A257,Data[Label],0))</f>
        <v>222</v>
      </c>
      <c r="C257" s="91">
        <f>INDEX(Data[FY2026 TSS],MATCH(A257,Data[Label],0))</f>
        <v>2214.5700000000002</v>
      </c>
      <c r="D257" s="91">
        <f>INDEX(Data[FY2026 PD],MATCH(A257,Data[Label],0))</f>
        <v>90.68</v>
      </c>
      <c r="E257" s="91">
        <f>INDEX(Data[FY2026 Early Intervention],MATCH(A257,Data[Label],0))</f>
        <v>93.51</v>
      </c>
      <c r="F257" s="91">
        <f>INDEX(Data[FY2026 TLC],MATCH(A257,Data[Label],0))</f>
        <v>385.29</v>
      </c>
      <c r="G257" s="182">
        <f t="shared" si="247"/>
        <v>491635</v>
      </c>
      <c r="H257" s="182">
        <f t="shared" si="248"/>
        <v>20131</v>
      </c>
      <c r="I257" s="182">
        <f t="shared" si="249"/>
        <v>20759</v>
      </c>
      <c r="J257" s="182">
        <f t="shared" si="250"/>
        <v>85534</v>
      </c>
      <c r="K257" s="182">
        <f>INDEX(Data[FY2026 TSS Budget Guarantee],MATCH(A257,Data[Label],0))+INDEX(Data[FY2026 PD Budget Guarantee],MATCH(A257,Data[Label],0))+INDEX(Data[FY2026 Early Intervention Budget Guarantee],MATCH(A257,Data[Label],0))+INDEX(Data[FY2026 TLC Budget Gurantee],MATCH(A257,Data[Label],0))</f>
        <v>3876</v>
      </c>
      <c r="L257" s="182">
        <f t="shared" si="251"/>
        <v>621935</v>
      </c>
      <c r="M257" s="181">
        <f>INDEX(Data[FY2027 Budget Enrollment],MATCH(A257,Data[Label],0))+INDEX(Data[FY2027 ESAs],MATCH(A257,Data[Label],0))</f>
        <v>219.3</v>
      </c>
      <c r="N257" s="91">
        <f t="shared" si="252"/>
        <v>2228.2600000000002</v>
      </c>
      <c r="O257" s="91">
        <f t="shared" si="253"/>
        <v>92.23</v>
      </c>
      <c r="P257" s="91">
        <f t="shared" si="254"/>
        <v>95.2</v>
      </c>
      <c r="Q257" s="91">
        <f t="shared" si="255"/>
        <v>393</v>
      </c>
      <c r="R257" s="182">
        <f t="shared" si="263"/>
        <v>488657</v>
      </c>
      <c r="S257" s="182">
        <f t="shared" si="264"/>
        <v>20226</v>
      </c>
      <c r="T257" s="182">
        <f t="shared" si="265"/>
        <v>20877</v>
      </c>
      <c r="U257" s="182">
        <f t="shared" ref="U257" si="319">ROUND($M257*Q257,)</f>
        <v>86185</v>
      </c>
      <c r="V257" s="182">
        <f t="shared" si="257"/>
        <v>2978</v>
      </c>
      <c r="W257" s="182">
        <f t="shared" si="258"/>
        <v>618923</v>
      </c>
      <c r="X257" s="182">
        <f t="shared" si="259"/>
        <v>-3012</v>
      </c>
      <c r="Y257" s="183">
        <f t="shared" si="260"/>
        <v>-4.8429498259464415E-3</v>
      </c>
      <c r="Z257" s="184">
        <f t="shared" si="261"/>
        <v>-2.6999999999999886</v>
      </c>
      <c r="AA257" s="185">
        <f t="shared" si="262"/>
        <v>-1.2162162162162111E-2</v>
      </c>
    </row>
    <row r="258" spans="1:27" x14ac:dyDescent="0.55000000000000004">
      <c r="A258" s="230" t="s">
        <v>251</v>
      </c>
      <c r="B258" s="176">
        <f>INDEX(Data[FY2026 Budget Enrollment],MATCH(A258,Data[Label],0))+INDEX(Data[FY2026 ESA],MATCH(A258,Data[Label],0))</f>
        <v>1283.3</v>
      </c>
      <c r="C258" s="218">
        <f>INDEX(Data[FY2026 TSS],MATCH(A258,Data[Label],0))</f>
        <v>843.48</v>
      </c>
      <c r="D258" s="218">
        <f>INDEX(Data[FY2026 PD],MATCH(A258,Data[Label],0))</f>
        <v>71.010000000000005</v>
      </c>
      <c r="E258" s="218">
        <f>INDEX(Data[FY2026 Early Intervention],MATCH(A258,Data[Label],0))</f>
        <v>82.26</v>
      </c>
      <c r="F258" s="218">
        <f>INDEX(Data[FY2026 TLC],MATCH(A258,Data[Label],0))</f>
        <v>385.29</v>
      </c>
      <c r="G258" s="177">
        <f t="shared" si="247"/>
        <v>1082438</v>
      </c>
      <c r="H258" s="177">
        <f t="shared" si="248"/>
        <v>91127</v>
      </c>
      <c r="I258" s="177">
        <f t="shared" si="249"/>
        <v>105564</v>
      </c>
      <c r="J258" s="177">
        <f t="shared" si="250"/>
        <v>494443</v>
      </c>
      <c r="K258" s="177">
        <f>INDEX(Data[FY2026 TSS Budget Guarantee],MATCH(A258,Data[Label],0))+INDEX(Data[FY2026 PD Budget Guarantee],MATCH(A258,Data[Label],0))+INDEX(Data[FY2026 Early Intervention Budget Guarantee],MATCH(A258,Data[Label],0))+INDEX(Data[FY2026 TLC Budget Gurantee],MATCH(A258,Data[Label],0))</f>
        <v>0</v>
      </c>
      <c r="L258" s="177">
        <f t="shared" si="251"/>
        <v>1773572</v>
      </c>
      <c r="M258" s="176">
        <f>INDEX(Data[FY2027 Budget Enrollment],MATCH(A258,Data[Label],0))+INDEX(Data[FY2027 ESAs],MATCH(A258,Data[Label],0))</f>
        <v>1288.2</v>
      </c>
      <c r="N258" s="218">
        <f t="shared" si="252"/>
        <v>857.17000000000007</v>
      </c>
      <c r="O258" s="218">
        <f t="shared" si="253"/>
        <v>72.56</v>
      </c>
      <c r="P258" s="218">
        <f t="shared" si="254"/>
        <v>83.95</v>
      </c>
      <c r="Q258" s="218">
        <f t="shared" si="255"/>
        <v>393</v>
      </c>
      <c r="R258" s="177">
        <f t="shared" si="263"/>
        <v>1104206</v>
      </c>
      <c r="S258" s="177">
        <f t="shared" si="264"/>
        <v>93472</v>
      </c>
      <c r="T258" s="177">
        <f t="shared" si="265"/>
        <v>108144</v>
      </c>
      <c r="U258" s="177">
        <f t="shared" ref="U258" si="320">ROUND($M258*Q258,0)</f>
        <v>506263</v>
      </c>
      <c r="V258" s="177">
        <f t="shared" si="257"/>
        <v>0</v>
      </c>
      <c r="W258" s="177">
        <f t="shared" si="258"/>
        <v>1812085</v>
      </c>
      <c r="X258" s="177">
        <f t="shared" si="259"/>
        <v>38513</v>
      </c>
      <c r="Y258" s="178">
        <f t="shared" si="260"/>
        <v>2.1714934606545434E-2</v>
      </c>
      <c r="Z258" s="179">
        <f t="shared" si="261"/>
        <v>4.9000000000000909</v>
      </c>
      <c r="AA258" s="180">
        <f t="shared" si="262"/>
        <v>3.8182809943116116E-3</v>
      </c>
    </row>
    <row r="259" spans="1:27" x14ac:dyDescent="0.55000000000000004">
      <c r="A259" s="229" t="s">
        <v>252</v>
      </c>
      <c r="B259" s="181">
        <f>INDEX(Data[FY2026 Budget Enrollment],MATCH(A259,Data[Label],0))+INDEX(Data[FY2026 ESA],MATCH(A259,Data[Label],0))</f>
        <v>1064.0999999999999</v>
      </c>
      <c r="C259" s="91">
        <f>INDEX(Data[FY2026 TSS],MATCH(A259,Data[Label],0))</f>
        <v>1008.6</v>
      </c>
      <c r="D259" s="91">
        <f>INDEX(Data[FY2026 PD],MATCH(A259,Data[Label],0))</f>
        <v>77.97</v>
      </c>
      <c r="E259" s="91">
        <f>INDEX(Data[FY2026 Early Intervention],MATCH(A259,Data[Label],0))</f>
        <v>90.55</v>
      </c>
      <c r="F259" s="91">
        <f>INDEX(Data[FY2026 TLC],MATCH(A259,Data[Label],0))</f>
        <v>385.29</v>
      </c>
      <c r="G259" s="182">
        <f t="shared" si="247"/>
        <v>1073251</v>
      </c>
      <c r="H259" s="182">
        <f t="shared" si="248"/>
        <v>82968</v>
      </c>
      <c r="I259" s="182">
        <f t="shared" si="249"/>
        <v>96354</v>
      </c>
      <c r="J259" s="182">
        <f t="shared" si="250"/>
        <v>409987</v>
      </c>
      <c r="K259" s="182">
        <f>INDEX(Data[FY2026 TSS Budget Guarantee],MATCH(A259,Data[Label],0))+INDEX(Data[FY2026 PD Budget Guarantee],MATCH(A259,Data[Label],0))+INDEX(Data[FY2026 Early Intervention Budget Guarantee],MATCH(A259,Data[Label],0))+INDEX(Data[FY2026 TLC Budget Gurantee],MATCH(A259,Data[Label],0))</f>
        <v>0</v>
      </c>
      <c r="L259" s="182">
        <f t="shared" si="251"/>
        <v>1662560</v>
      </c>
      <c r="M259" s="181">
        <f>INDEX(Data[FY2027 Budget Enrollment],MATCH(A259,Data[Label],0))+INDEX(Data[FY2027 ESAs],MATCH(A259,Data[Label],0))</f>
        <v>1051.7</v>
      </c>
      <c r="N259" s="91">
        <f t="shared" si="252"/>
        <v>1022.2900000000001</v>
      </c>
      <c r="O259" s="91">
        <f t="shared" si="253"/>
        <v>79.52</v>
      </c>
      <c r="P259" s="91">
        <f t="shared" si="254"/>
        <v>92.24</v>
      </c>
      <c r="Q259" s="91">
        <f t="shared" si="255"/>
        <v>393</v>
      </c>
      <c r="R259" s="182">
        <f t="shared" si="263"/>
        <v>1075142</v>
      </c>
      <c r="S259" s="182">
        <f t="shared" si="264"/>
        <v>83631</v>
      </c>
      <c r="T259" s="182">
        <f t="shared" si="265"/>
        <v>97009</v>
      </c>
      <c r="U259" s="182">
        <f t="shared" ref="U259" si="321">ROUND($M259*Q259,)</f>
        <v>413318</v>
      </c>
      <c r="V259" s="182">
        <f t="shared" si="257"/>
        <v>0</v>
      </c>
      <c r="W259" s="182">
        <f t="shared" si="258"/>
        <v>1669100</v>
      </c>
      <c r="X259" s="182">
        <f t="shared" si="259"/>
        <v>6540</v>
      </c>
      <c r="Y259" s="183">
        <f t="shared" si="260"/>
        <v>3.9336926186122603E-3</v>
      </c>
      <c r="Z259" s="184">
        <f t="shared" si="261"/>
        <v>-12.399999999999864</v>
      </c>
      <c r="AA259" s="185">
        <f t="shared" si="262"/>
        <v>-1.165304012780741E-2</v>
      </c>
    </row>
    <row r="260" spans="1:27" x14ac:dyDescent="0.55000000000000004">
      <c r="A260" s="230" t="s">
        <v>253</v>
      </c>
      <c r="B260" s="176">
        <f>INDEX(Data[FY2026 Budget Enrollment],MATCH(A260,Data[Label],0))+INDEX(Data[FY2026 ESA],MATCH(A260,Data[Label],0))</f>
        <v>684.3</v>
      </c>
      <c r="C260" s="218">
        <f>INDEX(Data[FY2026 TSS],MATCH(A260,Data[Label],0))</f>
        <v>1224.79</v>
      </c>
      <c r="D260" s="218">
        <f>INDEX(Data[FY2026 PD],MATCH(A260,Data[Label],0))</f>
        <v>73.73</v>
      </c>
      <c r="E260" s="218">
        <f>INDEX(Data[FY2026 Early Intervention],MATCH(A260,Data[Label],0))</f>
        <v>83.86</v>
      </c>
      <c r="F260" s="218">
        <f>INDEX(Data[FY2026 TLC],MATCH(A260,Data[Label],0))</f>
        <v>385.29</v>
      </c>
      <c r="G260" s="177">
        <f t="shared" si="247"/>
        <v>838124</v>
      </c>
      <c r="H260" s="177">
        <f t="shared" si="248"/>
        <v>50453</v>
      </c>
      <c r="I260" s="177">
        <f t="shared" si="249"/>
        <v>57385</v>
      </c>
      <c r="J260" s="177">
        <f t="shared" si="250"/>
        <v>263654</v>
      </c>
      <c r="K260" s="177">
        <f>INDEX(Data[FY2026 TSS Budget Guarantee],MATCH(A260,Data[Label],0))+INDEX(Data[FY2026 PD Budget Guarantee],MATCH(A260,Data[Label],0))+INDEX(Data[FY2026 Early Intervention Budget Guarantee],MATCH(A260,Data[Label],0))+INDEX(Data[FY2026 TLC Budget Gurantee],MATCH(A260,Data[Label],0))</f>
        <v>0</v>
      </c>
      <c r="L260" s="177">
        <f t="shared" si="251"/>
        <v>1209616</v>
      </c>
      <c r="M260" s="176">
        <f>INDEX(Data[FY2027 Budget Enrollment],MATCH(A260,Data[Label],0))+INDEX(Data[FY2027 ESAs],MATCH(A260,Data[Label],0))</f>
        <v>648.6</v>
      </c>
      <c r="N260" s="218">
        <f t="shared" si="252"/>
        <v>1238.48</v>
      </c>
      <c r="O260" s="218">
        <f t="shared" si="253"/>
        <v>75.28</v>
      </c>
      <c r="P260" s="218">
        <f t="shared" si="254"/>
        <v>85.55</v>
      </c>
      <c r="Q260" s="218">
        <f t="shared" si="255"/>
        <v>393</v>
      </c>
      <c r="R260" s="177">
        <f t="shared" si="263"/>
        <v>803278</v>
      </c>
      <c r="S260" s="177">
        <f t="shared" si="264"/>
        <v>48827</v>
      </c>
      <c r="T260" s="177">
        <f t="shared" si="265"/>
        <v>55488</v>
      </c>
      <c r="U260" s="177">
        <f t="shared" ref="U260" si="322">ROUND($M260*Q260,0)</f>
        <v>254900</v>
      </c>
      <c r="V260" s="177">
        <f t="shared" si="257"/>
        <v>47123</v>
      </c>
      <c r="W260" s="177">
        <f t="shared" si="258"/>
        <v>1209616</v>
      </c>
      <c r="X260" s="177">
        <f t="shared" si="259"/>
        <v>0</v>
      </c>
      <c r="Y260" s="178">
        <f t="shared" si="260"/>
        <v>0</v>
      </c>
      <c r="Z260" s="179">
        <f t="shared" si="261"/>
        <v>-35.699999999999932</v>
      </c>
      <c r="AA260" s="180">
        <f t="shared" si="262"/>
        <v>-5.21701008329679E-2</v>
      </c>
    </row>
    <row r="261" spans="1:27" x14ac:dyDescent="0.55000000000000004">
      <c r="A261" s="229" t="s">
        <v>254</v>
      </c>
      <c r="B261" s="181">
        <f>INDEX(Data[FY2026 Budget Enrollment],MATCH(A261,Data[Label],0))+INDEX(Data[FY2026 ESA],MATCH(A261,Data[Label],0))</f>
        <v>369.2</v>
      </c>
      <c r="C261" s="91">
        <f>INDEX(Data[FY2026 TSS],MATCH(A261,Data[Label],0))</f>
        <v>1299.52</v>
      </c>
      <c r="D261" s="91">
        <f>INDEX(Data[FY2026 PD],MATCH(A261,Data[Label],0))</f>
        <v>80.52</v>
      </c>
      <c r="E261" s="91">
        <f>INDEX(Data[FY2026 Early Intervention],MATCH(A261,Data[Label],0))</f>
        <v>85.96</v>
      </c>
      <c r="F261" s="91">
        <f>INDEX(Data[FY2026 TLC],MATCH(A261,Data[Label],0))</f>
        <v>385.29</v>
      </c>
      <c r="G261" s="182">
        <f t="shared" si="247"/>
        <v>479783</v>
      </c>
      <c r="H261" s="182">
        <f t="shared" si="248"/>
        <v>29728</v>
      </c>
      <c r="I261" s="182">
        <f t="shared" si="249"/>
        <v>31736</v>
      </c>
      <c r="J261" s="182">
        <f t="shared" si="250"/>
        <v>142249</v>
      </c>
      <c r="K261" s="182">
        <f>INDEX(Data[FY2026 TSS Budget Guarantee],MATCH(A261,Data[Label],0))+INDEX(Data[FY2026 PD Budget Guarantee],MATCH(A261,Data[Label],0))+INDEX(Data[FY2026 Early Intervention Budget Guarantee],MATCH(A261,Data[Label],0))+INDEX(Data[FY2026 TLC Budget Gurantee],MATCH(A261,Data[Label],0))</f>
        <v>6752</v>
      </c>
      <c r="L261" s="182">
        <f t="shared" si="251"/>
        <v>690248</v>
      </c>
      <c r="M261" s="181">
        <f>INDEX(Data[FY2027 Budget Enrollment],MATCH(A261,Data[Label],0))+INDEX(Data[FY2027 ESAs],MATCH(A261,Data[Label],0))</f>
        <v>337.2</v>
      </c>
      <c r="N261" s="91">
        <f t="shared" si="252"/>
        <v>1313.21</v>
      </c>
      <c r="O261" s="91">
        <f t="shared" si="253"/>
        <v>82.07</v>
      </c>
      <c r="P261" s="91">
        <f t="shared" si="254"/>
        <v>87.649999999999991</v>
      </c>
      <c r="Q261" s="91">
        <f t="shared" si="255"/>
        <v>393</v>
      </c>
      <c r="R261" s="182">
        <f t="shared" si="263"/>
        <v>442814</v>
      </c>
      <c r="S261" s="182">
        <f t="shared" si="264"/>
        <v>27674</v>
      </c>
      <c r="T261" s="182">
        <f t="shared" si="265"/>
        <v>29556</v>
      </c>
      <c r="U261" s="182">
        <f t="shared" ref="U261" si="323">ROUND($M261*Q261,)</f>
        <v>132520</v>
      </c>
      <c r="V261" s="182">
        <f t="shared" si="257"/>
        <v>50932</v>
      </c>
      <c r="W261" s="182">
        <f t="shared" si="258"/>
        <v>683496</v>
      </c>
      <c r="X261" s="182">
        <f t="shared" si="259"/>
        <v>-6752</v>
      </c>
      <c r="Y261" s="183">
        <f t="shared" si="260"/>
        <v>-9.7819914001923951E-3</v>
      </c>
      <c r="Z261" s="184">
        <f t="shared" si="261"/>
        <v>-32</v>
      </c>
      <c r="AA261" s="185">
        <f t="shared" si="262"/>
        <v>-8.6673889490790898E-2</v>
      </c>
    </row>
    <row r="262" spans="1:27" x14ac:dyDescent="0.55000000000000004">
      <c r="A262" s="230" t="s">
        <v>255</v>
      </c>
      <c r="B262" s="176">
        <f>INDEX(Data[FY2026 Budget Enrollment],MATCH(A262,Data[Label],0))+INDEX(Data[FY2026 ESA],MATCH(A262,Data[Label],0))</f>
        <v>563</v>
      </c>
      <c r="C262" s="218">
        <f>INDEX(Data[FY2026 TSS],MATCH(A262,Data[Label],0))</f>
        <v>1012.23</v>
      </c>
      <c r="D262" s="218">
        <f>INDEX(Data[FY2026 PD],MATCH(A262,Data[Label],0))</f>
        <v>76.97</v>
      </c>
      <c r="E262" s="218">
        <f>INDEX(Data[FY2026 Early Intervention],MATCH(A262,Data[Label],0))</f>
        <v>80.59</v>
      </c>
      <c r="F262" s="218">
        <f>INDEX(Data[FY2026 TLC],MATCH(A262,Data[Label],0))</f>
        <v>385.29</v>
      </c>
      <c r="G262" s="177">
        <f t="shared" si="247"/>
        <v>569885</v>
      </c>
      <c r="H262" s="177">
        <f t="shared" si="248"/>
        <v>43334</v>
      </c>
      <c r="I262" s="177">
        <f t="shared" si="249"/>
        <v>45372</v>
      </c>
      <c r="J262" s="177">
        <f t="shared" si="250"/>
        <v>216918</v>
      </c>
      <c r="K262" s="177">
        <f>INDEX(Data[FY2026 TSS Budget Guarantee],MATCH(A262,Data[Label],0))+INDEX(Data[FY2026 PD Budget Guarantee],MATCH(A262,Data[Label],0))+INDEX(Data[FY2026 Early Intervention Budget Guarantee],MATCH(A262,Data[Label],0))+INDEX(Data[FY2026 TLC Budget Gurantee],MATCH(A262,Data[Label],0))</f>
        <v>0</v>
      </c>
      <c r="L262" s="177">
        <f t="shared" si="251"/>
        <v>875509</v>
      </c>
      <c r="M262" s="176">
        <f>INDEX(Data[FY2027 Budget Enrollment],MATCH(A262,Data[Label],0))+INDEX(Data[FY2027 ESAs],MATCH(A262,Data[Label],0))</f>
        <v>557.9</v>
      </c>
      <c r="N262" s="218">
        <f t="shared" si="252"/>
        <v>1025.92</v>
      </c>
      <c r="O262" s="218">
        <f t="shared" si="253"/>
        <v>78.52</v>
      </c>
      <c r="P262" s="218">
        <f t="shared" si="254"/>
        <v>82.28</v>
      </c>
      <c r="Q262" s="218">
        <f t="shared" si="255"/>
        <v>393</v>
      </c>
      <c r="R262" s="177">
        <f t="shared" si="263"/>
        <v>572361</v>
      </c>
      <c r="S262" s="177">
        <f t="shared" si="264"/>
        <v>43806</v>
      </c>
      <c r="T262" s="177">
        <f t="shared" si="265"/>
        <v>45904</v>
      </c>
      <c r="U262" s="177">
        <f t="shared" ref="U262" si="324">ROUND($M262*Q262,0)</f>
        <v>219255</v>
      </c>
      <c r="V262" s="177">
        <f t="shared" si="257"/>
        <v>0</v>
      </c>
      <c r="W262" s="177">
        <f t="shared" si="258"/>
        <v>881326</v>
      </c>
      <c r="X262" s="177">
        <f t="shared" si="259"/>
        <v>5817</v>
      </c>
      <c r="Y262" s="178">
        <f t="shared" si="260"/>
        <v>6.6441350117474518E-3</v>
      </c>
      <c r="Z262" s="179">
        <f t="shared" si="261"/>
        <v>-5.1000000000000227</v>
      </c>
      <c r="AA262" s="180">
        <f t="shared" si="262"/>
        <v>-9.0586145648313011E-3</v>
      </c>
    </row>
    <row r="263" spans="1:27" x14ac:dyDescent="0.55000000000000004">
      <c r="A263" s="229" t="s">
        <v>256</v>
      </c>
      <c r="B263" s="181">
        <f>INDEX(Data[FY2026 Budget Enrollment],MATCH(A263,Data[Label],0))+INDEX(Data[FY2026 ESA],MATCH(A263,Data[Label],0))</f>
        <v>2141</v>
      </c>
      <c r="C263" s="91">
        <f>INDEX(Data[FY2026 TSS],MATCH(A263,Data[Label],0))</f>
        <v>771.8</v>
      </c>
      <c r="D263" s="91">
        <f>INDEX(Data[FY2026 PD],MATCH(A263,Data[Label],0))</f>
        <v>87.14</v>
      </c>
      <c r="E263" s="91">
        <f>INDEX(Data[FY2026 Early Intervention],MATCH(A263,Data[Label],0))</f>
        <v>92.07</v>
      </c>
      <c r="F263" s="91">
        <f>INDEX(Data[FY2026 TLC],MATCH(A263,Data[Label],0))</f>
        <v>385.29</v>
      </c>
      <c r="G263" s="182">
        <f t="shared" si="247"/>
        <v>1652424</v>
      </c>
      <c r="H263" s="182">
        <f t="shared" si="248"/>
        <v>186567</v>
      </c>
      <c r="I263" s="182">
        <f t="shared" si="249"/>
        <v>197122</v>
      </c>
      <c r="J263" s="182">
        <f t="shared" si="250"/>
        <v>824906</v>
      </c>
      <c r="K263" s="182">
        <f>INDEX(Data[FY2026 TSS Budget Guarantee],MATCH(A263,Data[Label],0))+INDEX(Data[FY2026 PD Budget Guarantee],MATCH(A263,Data[Label],0))+INDEX(Data[FY2026 Early Intervention Budget Guarantee],MATCH(A263,Data[Label],0))+INDEX(Data[FY2026 TLC Budget Gurantee],MATCH(A263,Data[Label],0))</f>
        <v>0</v>
      </c>
      <c r="L263" s="182">
        <f t="shared" si="251"/>
        <v>2861019</v>
      </c>
      <c r="M263" s="181">
        <f>INDEX(Data[FY2027 Budget Enrollment],MATCH(A263,Data[Label],0))+INDEX(Data[FY2027 ESAs],MATCH(A263,Data[Label],0))</f>
        <v>2223.1</v>
      </c>
      <c r="N263" s="91">
        <f t="shared" si="252"/>
        <v>785.49</v>
      </c>
      <c r="O263" s="91">
        <f t="shared" si="253"/>
        <v>88.69</v>
      </c>
      <c r="P263" s="91">
        <f t="shared" si="254"/>
        <v>93.759999999999991</v>
      </c>
      <c r="Q263" s="91">
        <f t="shared" si="255"/>
        <v>393</v>
      </c>
      <c r="R263" s="182">
        <f t="shared" si="263"/>
        <v>1746223</v>
      </c>
      <c r="S263" s="182">
        <f t="shared" si="264"/>
        <v>197167</v>
      </c>
      <c r="T263" s="182">
        <f t="shared" si="265"/>
        <v>208438</v>
      </c>
      <c r="U263" s="182">
        <f t="shared" ref="U263" si="325">ROUND($M263*Q263,)</f>
        <v>873678</v>
      </c>
      <c r="V263" s="182">
        <f t="shared" si="257"/>
        <v>0</v>
      </c>
      <c r="W263" s="182">
        <f t="shared" si="258"/>
        <v>3025506</v>
      </c>
      <c r="X263" s="182">
        <f t="shared" si="259"/>
        <v>164487</v>
      </c>
      <c r="Y263" s="183">
        <f t="shared" si="260"/>
        <v>5.7492452863822298E-2</v>
      </c>
      <c r="Z263" s="184">
        <f t="shared" si="261"/>
        <v>82.099999999999909</v>
      </c>
      <c r="AA263" s="185">
        <f t="shared" si="262"/>
        <v>3.8346567024754745E-2</v>
      </c>
    </row>
    <row r="264" spans="1:27" x14ac:dyDescent="0.55000000000000004">
      <c r="A264" s="230" t="s">
        <v>257</v>
      </c>
      <c r="B264" s="176">
        <f>INDEX(Data[FY2026 Budget Enrollment],MATCH(A264,Data[Label],0))+INDEX(Data[FY2026 ESA],MATCH(A264,Data[Label],0))</f>
        <v>435.5</v>
      </c>
      <c r="C264" s="218">
        <f>INDEX(Data[FY2026 TSS],MATCH(A264,Data[Label],0))</f>
        <v>1240.67</v>
      </c>
      <c r="D264" s="218">
        <f>INDEX(Data[FY2026 PD],MATCH(A264,Data[Label],0))</f>
        <v>92.06</v>
      </c>
      <c r="E264" s="218">
        <f>INDEX(Data[FY2026 Early Intervention],MATCH(A264,Data[Label],0))</f>
        <v>85.82</v>
      </c>
      <c r="F264" s="218">
        <f>INDEX(Data[FY2026 TLC],MATCH(A264,Data[Label],0))</f>
        <v>385.29</v>
      </c>
      <c r="G264" s="177">
        <f t="shared" si="247"/>
        <v>540312</v>
      </c>
      <c r="H264" s="177">
        <f t="shared" si="248"/>
        <v>40092</v>
      </c>
      <c r="I264" s="177">
        <f t="shared" si="249"/>
        <v>37375</v>
      </c>
      <c r="J264" s="177">
        <f t="shared" si="250"/>
        <v>167794</v>
      </c>
      <c r="K264" s="177">
        <f>INDEX(Data[FY2026 TSS Budget Guarantee],MATCH(A264,Data[Label],0))+INDEX(Data[FY2026 PD Budget Guarantee],MATCH(A264,Data[Label],0))+INDEX(Data[FY2026 Early Intervention Budget Guarantee],MATCH(A264,Data[Label],0))+INDEX(Data[FY2026 TLC Budget Gurantee],MATCH(A264,Data[Label],0))</f>
        <v>0</v>
      </c>
      <c r="L264" s="177">
        <f t="shared" si="251"/>
        <v>785573</v>
      </c>
      <c r="M264" s="176">
        <f>INDEX(Data[FY2027 Budget Enrollment],MATCH(A264,Data[Label],0))+INDEX(Data[FY2027 ESAs],MATCH(A264,Data[Label],0))</f>
        <v>456.3</v>
      </c>
      <c r="N264" s="218">
        <f t="shared" si="252"/>
        <v>1254.3600000000001</v>
      </c>
      <c r="O264" s="218">
        <f t="shared" si="253"/>
        <v>93.61</v>
      </c>
      <c r="P264" s="218">
        <f t="shared" si="254"/>
        <v>87.509999999999991</v>
      </c>
      <c r="Q264" s="218">
        <f t="shared" si="255"/>
        <v>393</v>
      </c>
      <c r="R264" s="177">
        <f t="shared" si="263"/>
        <v>572364</v>
      </c>
      <c r="S264" s="177">
        <f t="shared" si="264"/>
        <v>42714</v>
      </c>
      <c r="T264" s="177">
        <f t="shared" si="265"/>
        <v>39931</v>
      </c>
      <c r="U264" s="177">
        <f t="shared" ref="U264" si="326">ROUND($M264*Q264,0)</f>
        <v>179326</v>
      </c>
      <c r="V264" s="177">
        <f t="shared" si="257"/>
        <v>0</v>
      </c>
      <c r="W264" s="177">
        <f t="shared" si="258"/>
        <v>834335</v>
      </c>
      <c r="X264" s="177">
        <f t="shared" si="259"/>
        <v>48762</v>
      </c>
      <c r="Y264" s="178">
        <f t="shared" si="260"/>
        <v>6.2071888926936138E-2</v>
      </c>
      <c r="Z264" s="179">
        <f t="shared" si="261"/>
        <v>20.800000000000011</v>
      </c>
      <c r="AA264" s="180">
        <f t="shared" si="262"/>
        <v>4.7761194029850775E-2</v>
      </c>
    </row>
    <row r="265" spans="1:27" x14ac:dyDescent="0.55000000000000004">
      <c r="A265" s="229" t="s">
        <v>258</v>
      </c>
      <c r="B265" s="181">
        <f>INDEX(Data[FY2026 Budget Enrollment],MATCH(A265,Data[Label],0))+INDEX(Data[FY2026 ESA],MATCH(A265,Data[Label],0))</f>
        <v>15814.1</v>
      </c>
      <c r="C265" s="91">
        <f>INDEX(Data[FY2026 TSS],MATCH(A265,Data[Label],0))</f>
        <v>731.52</v>
      </c>
      <c r="D265" s="91">
        <f>INDEX(Data[FY2026 PD],MATCH(A265,Data[Label],0))</f>
        <v>79.010000000000005</v>
      </c>
      <c r="E265" s="91">
        <f>INDEX(Data[FY2026 Early Intervention],MATCH(A265,Data[Label],0))</f>
        <v>97.02</v>
      </c>
      <c r="F265" s="91">
        <f>INDEX(Data[FY2026 TLC],MATCH(A265,Data[Label],0))</f>
        <v>385.29</v>
      </c>
      <c r="G265" s="182">
        <f t="shared" si="247"/>
        <v>11568330</v>
      </c>
      <c r="H265" s="182">
        <f t="shared" si="248"/>
        <v>1249472</v>
      </c>
      <c r="I265" s="182">
        <f t="shared" si="249"/>
        <v>1534284</v>
      </c>
      <c r="J265" s="182">
        <f t="shared" si="250"/>
        <v>6093015</v>
      </c>
      <c r="K265" s="182">
        <f>INDEX(Data[FY2026 TSS Budget Guarantee],MATCH(A265,Data[Label],0))+INDEX(Data[FY2026 PD Budget Guarantee],MATCH(A265,Data[Label],0))+INDEX(Data[FY2026 Early Intervention Budget Guarantee],MATCH(A265,Data[Label],0))+INDEX(Data[FY2026 TLC Budget Gurantee],MATCH(A265,Data[Label],0))</f>
        <v>0</v>
      </c>
      <c r="L265" s="182">
        <f t="shared" si="251"/>
        <v>20445101</v>
      </c>
      <c r="M265" s="181">
        <f>INDEX(Data[FY2027 Budget Enrollment],MATCH(A265,Data[Label],0))+INDEX(Data[FY2027 ESAs],MATCH(A265,Data[Label],0))</f>
        <v>15816.4</v>
      </c>
      <c r="N265" s="91">
        <f t="shared" si="252"/>
        <v>745.21</v>
      </c>
      <c r="O265" s="91">
        <f t="shared" si="253"/>
        <v>80.56</v>
      </c>
      <c r="P265" s="91">
        <f t="shared" si="254"/>
        <v>98.71</v>
      </c>
      <c r="Q265" s="91">
        <f t="shared" si="255"/>
        <v>393</v>
      </c>
      <c r="R265" s="182">
        <f t="shared" si="263"/>
        <v>11786539</v>
      </c>
      <c r="S265" s="182">
        <f t="shared" si="264"/>
        <v>1274169</v>
      </c>
      <c r="T265" s="182">
        <f t="shared" si="265"/>
        <v>1561237</v>
      </c>
      <c r="U265" s="182">
        <f t="shared" ref="U265" si="327">ROUND($M265*Q265,)</f>
        <v>6215845</v>
      </c>
      <c r="V265" s="182">
        <f t="shared" si="257"/>
        <v>0</v>
      </c>
      <c r="W265" s="182">
        <f t="shared" si="258"/>
        <v>20837790</v>
      </c>
      <c r="X265" s="182">
        <f t="shared" si="259"/>
        <v>392689</v>
      </c>
      <c r="Y265" s="183">
        <f t="shared" si="260"/>
        <v>1.9206997314417766E-2</v>
      </c>
      <c r="Z265" s="184">
        <f t="shared" si="261"/>
        <v>2.2999999999992724</v>
      </c>
      <c r="AA265" s="185">
        <f t="shared" si="262"/>
        <v>1.4543982901330283E-4</v>
      </c>
    </row>
    <row r="266" spans="1:27" x14ac:dyDescent="0.55000000000000004">
      <c r="A266" s="230" t="s">
        <v>259</v>
      </c>
      <c r="B266" s="176">
        <f>INDEX(Data[FY2026 Budget Enrollment],MATCH(A266,Data[Label],0))+INDEX(Data[FY2026 ESA],MATCH(A266,Data[Label],0))</f>
        <v>1442.7</v>
      </c>
      <c r="C266" s="218">
        <f>INDEX(Data[FY2026 TSS],MATCH(A266,Data[Label],0))</f>
        <v>812.67</v>
      </c>
      <c r="D266" s="218">
        <f>INDEX(Data[FY2026 PD],MATCH(A266,Data[Label],0))</f>
        <v>69.23</v>
      </c>
      <c r="E266" s="218">
        <f>INDEX(Data[FY2026 Early Intervention],MATCH(A266,Data[Label],0))</f>
        <v>65.27</v>
      </c>
      <c r="F266" s="218">
        <f>INDEX(Data[FY2026 TLC],MATCH(A266,Data[Label],0))</f>
        <v>385.29</v>
      </c>
      <c r="G266" s="177">
        <f t="shared" si="247"/>
        <v>1172439</v>
      </c>
      <c r="H266" s="177">
        <f t="shared" si="248"/>
        <v>99878</v>
      </c>
      <c r="I266" s="177">
        <f t="shared" si="249"/>
        <v>94165</v>
      </c>
      <c r="J266" s="177">
        <f t="shared" si="250"/>
        <v>555858</v>
      </c>
      <c r="K266" s="177">
        <f>INDEX(Data[FY2026 TSS Budget Guarantee],MATCH(A266,Data[Label],0))+INDEX(Data[FY2026 PD Budget Guarantee],MATCH(A266,Data[Label],0))+INDEX(Data[FY2026 Early Intervention Budget Guarantee],MATCH(A266,Data[Label],0))+INDEX(Data[FY2026 TLC Budget Gurantee],MATCH(A266,Data[Label],0))</f>
        <v>0</v>
      </c>
      <c r="L266" s="177">
        <f t="shared" si="251"/>
        <v>1922340</v>
      </c>
      <c r="M266" s="176">
        <f>INDEX(Data[FY2027 Budget Enrollment],MATCH(A266,Data[Label],0))+INDEX(Data[FY2027 ESAs],MATCH(A266,Data[Label],0))</f>
        <v>1501.7</v>
      </c>
      <c r="N266" s="218">
        <f t="shared" si="252"/>
        <v>826.36</v>
      </c>
      <c r="O266" s="218">
        <f t="shared" si="253"/>
        <v>70.78</v>
      </c>
      <c r="P266" s="218">
        <f t="shared" si="254"/>
        <v>66.959999999999994</v>
      </c>
      <c r="Q266" s="218">
        <f t="shared" si="255"/>
        <v>393</v>
      </c>
      <c r="R266" s="177">
        <f t="shared" si="263"/>
        <v>1240945</v>
      </c>
      <c r="S266" s="177">
        <f t="shared" si="264"/>
        <v>106290</v>
      </c>
      <c r="T266" s="177">
        <f t="shared" si="265"/>
        <v>100554</v>
      </c>
      <c r="U266" s="177">
        <f t="shared" ref="U266" si="328">ROUND($M266*Q266,0)</f>
        <v>590168</v>
      </c>
      <c r="V266" s="177">
        <f t="shared" si="257"/>
        <v>0</v>
      </c>
      <c r="W266" s="177">
        <f t="shared" si="258"/>
        <v>2037957</v>
      </c>
      <c r="X266" s="177">
        <f t="shared" si="259"/>
        <v>115617</v>
      </c>
      <c r="Y266" s="178">
        <f t="shared" si="260"/>
        <v>6.0143887137551109E-2</v>
      </c>
      <c r="Z266" s="179">
        <f t="shared" si="261"/>
        <v>59</v>
      </c>
      <c r="AA266" s="180">
        <f t="shared" si="262"/>
        <v>4.0895543078949194E-2</v>
      </c>
    </row>
    <row r="267" spans="1:27" x14ac:dyDescent="0.55000000000000004">
      <c r="A267" s="229" t="s">
        <v>260</v>
      </c>
      <c r="B267" s="181">
        <f>INDEX(Data[FY2026 Budget Enrollment],MATCH(A267,Data[Label],0))+INDEX(Data[FY2026 ESA],MATCH(A267,Data[Label],0))</f>
        <v>919.3</v>
      </c>
      <c r="C267" s="91">
        <f>INDEX(Data[FY2026 TSS],MATCH(A267,Data[Label],0))</f>
        <v>970.51</v>
      </c>
      <c r="D267" s="91">
        <f>INDEX(Data[FY2026 PD],MATCH(A267,Data[Label],0))</f>
        <v>77.59</v>
      </c>
      <c r="E267" s="91">
        <f>INDEX(Data[FY2026 Early Intervention],MATCH(A267,Data[Label],0))</f>
        <v>82.32</v>
      </c>
      <c r="F267" s="91">
        <f>INDEX(Data[FY2026 TLC],MATCH(A267,Data[Label],0))</f>
        <v>385.29</v>
      </c>
      <c r="G267" s="182">
        <f t="shared" ref="G267:G330" si="329">ROUND($B267*C267,0)</f>
        <v>892190</v>
      </c>
      <c r="H267" s="182">
        <f t="shared" ref="H267:H330" si="330">ROUND($B267*D267,0)</f>
        <v>71328</v>
      </c>
      <c r="I267" s="182">
        <f t="shared" ref="I267:I330" si="331">ROUND($B267*E267,0)</f>
        <v>75677</v>
      </c>
      <c r="J267" s="182">
        <f t="shared" ref="J267:J330" si="332">ROUND($B267*F267,0)</f>
        <v>354197</v>
      </c>
      <c r="K267" s="182">
        <f>INDEX(Data[FY2026 TSS Budget Guarantee],MATCH(A267,Data[Label],0))+INDEX(Data[FY2026 PD Budget Guarantee],MATCH(A267,Data[Label],0))+INDEX(Data[FY2026 Early Intervention Budget Guarantee],MATCH(A267,Data[Label],0))+INDEX(Data[FY2026 TLC Budget Gurantee],MATCH(A267,Data[Label],0))</f>
        <v>4460</v>
      </c>
      <c r="L267" s="182">
        <f t="shared" ref="L267:L330" si="333">G267+H267+I267+J267+K267</f>
        <v>1397852</v>
      </c>
      <c r="M267" s="181">
        <f>INDEX(Data[FY2027 Budget Enrollment],MATCH(A267,Data[Label],0))+INDEX(Data[FY2027 ESAs],MATCH(A267,Data[Label],0))</f>
        <v>972.4</v>
      </c>
      <c r="N267" s="91">
        <f t="shared" ref="N267:N330" si="334">C267+ROUND(684.47*$B$6,2)</f>
        <v>984.2</v>
      </c>
      <c r="O267" s="91">
        <f t="shared" ref="O267:O330" si="335">D267+ROUND(77.52*$B$6,2)</f>
        <v>79.14</v>
      </c>
      <c r="P267" s="91">
        <f t="shared" ref="P267:P330" si="336">E267+ROUND(84.44*$B$6,2)</f>
        <v>84.009999999999991</v>
      </c>
      <c r="Q267" s="91">
        <f t="shared" ref="Q267:Q330" si="337">F267+ROUND(F267*$B$6,2)</f>
        <v>393</v>
      </c>
      <c r="R267" s="182">
        <f t="shared" si="263"/>
        <v>957036</v>
      </c>
      <c r="S267" s="182">
        <f t="shared" si="264"/>
        <v>76956</v>
      </c>
      <c r="T267" s="182">
        <f t="shared" si="265"/>
        <v>81691</v>
      </c>
      <c r="U267" s="182">
        <f t="shared" ref="U267" si="338">ROUND($M267*Q267,)</f>
        <v>382153</v>
      </c>
      <c r="V267" s="182">
        <f t="shared" ref="V267:V330" si="339">ROUND(MAX((G267-R267),0),0)+ROUND(MAX((H267-S267),0),0)+ROUND(MAX((I267-T267),0),0)+ROUND(MAX((J267-U267),0),0)</f>
        <v>0</v>
      </c>
      <c r="W267" s="182">
        <f t="shared" ref="W267:W330" si="340">SUM(R267:U267)+V267</f>
        <v>1497836</v>
      </c>
      <c r="X267" s="182">
        <f t="shared" ref="X267:X330" si="341">W267-L267</f>
        <v>99984</v>
      </c>
      <c r="Y267" s="183">
        <f t="shared" ref="Y267:Y330" si="342">X267/L267</f>
        <v>7.1526885535807799E-2</v>
      </c>
      <c r="Z267" s="184">
        <f t="shared" ref="Z267:Z330" si="343">M267-B267</f>
        <v>53.100000000000023</v>
      </c>
      <c r="AA267" s="185">
        <f t="shared" ref="AA267:AA330" si="344">Z267/B267</f>
        <v>5.7761340150114242E-2</v>
      </c>
    </row>
    <row r="268" spans="1:27" x14ac:dyDescent="0.55000000000000004">
      <c r="A268" s="230" t="s">
        <v>261</v>
      </c>
      <c r="B268" s="176">
        <f>INDEX(Data[FY2026 Budget Enrollment],MATCH(A268,Data[Label],0))+INDEX(Data[FY2026 ESA],MATCH(A268,Data[Label],0))</f>
        <v>612.6</v>
      </c>
      <c r="C268" s="218">
        <f>INDEX(Data[FY2026 TSS],MATCH(A268,Data[Label],0))</f>
        <v>1047.8499999999999</v>
      </c>
      <c r="D268" s="218">
        <f>INDEX(Data[FY2026 PD],MATCH(A268,Data[Label],0))</f>
        <v>88.11</v>
      </c>
      <c r="E268" s="218">
        <f>INDEX(Data[FY2026 Early Intervention],MATCH(A268,Data[Label],0))</f>
        <v>85.51</v>
      </c>
      <c r="F268" s="218">
        <f>INDEX(Data[FY2026 TLC],MATCH(A268,Data[Label],0))</f>
        <v>385.29</v>
      </c>
      <c r="G268" s="177">
        <f t="shared" si="329"/>
        <v>641913</v>
      </c>
      <c r="H268" s="177">
        <f t="shared" si="330"/>
        <v>53976</v>
      </c>
      <c r="I268" s="177">
        <f t="shared" si="331"/>
        <v>52383</v>
      </c>
      <c r="J268" s="177">
        <f t="shared" si="332"/>
        <v>236029</v>
      </c>
      <c r="K268" s="177">
        <f>INDEX(Data[FY2026 TSS Budget Guarantee],MATCH(A268,Data[Label],0))+INDEX(Data[FY2026 PD Budget Guarantee],MATCH(A268,Data[Label],0))+INDEX(Data[FY2026 Early Intervention Budget Guarantee],MATCH(A268,Data[Label],0))+INDEX(Data[FY2026 TLC Budget Gurantee],MATCH(A268,Data[Label],0))</f>
        <v>0</v>
      </c>
      <c r="L268" s="177">
        <f t="shared" si="333"/>
        <v>984301</v>
      </c>
      <c r="M268" s="176">
        <f>INDEX(Data[FY2027 Budget Enrollment],MATCH(A268,Data[Label],0))+INDEX(Data[FY2027 ESAs],MATCH(A268,Data[Label],0))</f>
        <v>629.20000000000005</v>
      </c>
      <c r="N268" s="218">
        <f t="shared" si="334"/>
        <v>1061.54</v>
      </c>
      <c r="O268" s="218">
        <f t="shared" si="335"/>
        <v>89.66</v>
      </c>
      <c r="P268" s="218">
        <f t="shared" si="336"/>
        <v>87.2</v>
      </c>
      <c r="Q268" s="218">
        <f t="shared" si="337"/>
        <v>393</v>
      </c>
      <c r="R268" s="177">
        <f t="shared" ref="R268:R331" si="345">ROUND($M268*N268,0)</f>
        <v>667921</v>
      </c>
      <c r="S268" s="177">
        <f t="shared" ref="S268:S331" si="346">ROUND($M268*O268,0)</f>
        <v>56414</v>
      </c>
      <c r="T268" s="177">
        <f t="shared" ref="T268:T331" si="347">ROUND($M268*P268,0)</f>
        <v>54866</v>
      </c>
      <c r="U268" s="177">
        <f t="shared" ref="U268" si="348">ROUND($M268*Q268,0)</f>
        <v>247276</v>
      </c>
      <c r="V268" s="177">
        <f t="shared" si="339"/>
        <v>0</v>
      </c>
      <c r="W268" s="177">
        <f t="shared" si="340"/>
        <v>1026477</v>
      </c>
      <c r="X268" s="177">
        <f t="shared" si="341"/>
        <v>42176</v>
      </c>
      <c r="Y268" s="178">
        <f t="shared" si="342"/>
        <v>4.2848681450084886E-2</v>
      </c>
      <c r="Z268" s="179">
        <f t="shared" si="343"/>
        <v>16.600000000000023</v>
      </c>
      <c r="AA268" s="180">
        <f t="shared" si="344"/>
        <v>2.70976167156383E-2</v>
      </c>
    </row>
    <row r="269" spans="1:27" x14ac:dyDescent="0.55000000000000004">
      <c r="A269" s="229" t="s">
        <v>262</v>
      </c>
      <c r="B269" s="181">
        <f>INDEX(Data[FY2026 Budget Enrollment],MATCH(A269,Data[Label],0))+INDEX(Data[FY2026 ESA],MATCH(A269,Data[Label],0))</f>
        <v>654.79999999999995</v>
      </c>
      <c r="C269" s="91">
        <f>INDEX(Data[FY2026 TSS],MATCH(A269,Data[Label],0))</f>
        <v>1089.42</v>
      </c>
      <c r="D269" s="91">
        <f>INDEX(Data[FY2026 PD],MATCH(A269,Data[Label],0))</f>
        <v>82.1</v>
      </c>
      <c r="E269" s="91">
        <f>INDEX(Data[FY2026 Early Intervention],MATCH(A269,Data[Label],0))</f>
        <v>72.78</v>
      </c>
      <c r="F269" s="91">
        <f>INDEX(Data[FY2026 TLC],MATCH(A269,Data[Label],0))</f>
        <v>385.29</v>
      </c>
      <c r="G269" s="182">
        <f t="shared" si="329"/>
        <v>713352</v>
      </c>
      <c r="H269" s="182">
        <f t="shared" si="330"/>
        <v>53759</v>
      </c>
      <c r="I269" s="182">
        <f t="shared" si="331"/>
        <v>47656</v>
      </c>
      <c r="J269" s="182">
        <f t="shared" si="332"/>
        <v>252288</v>
      </c>
      <c r="K269" s="182">
        <f>INDEX(Data[FY2026 TSS Budget Guarantee],MATCH(A269,Data[Label],0))+INDEX(Data[FY2026 PD Budget Guarantee],MATCH(A269,Data[Label],0))+INDEX(Data[FY2026 Early Intervention Budget Guarantee],MATCH(A269,Data[Label],0))+INDEX(Data[FY2026 TLC Budget Gurantee],MATCH(A269,Data[Label],0))</f>
        <v>0</v>
      </c>
      <c r="L269" s="182">
        <f t="shared" si="333"/>
        <v>1067055</v>
      </c>
      <c r="M269" s="181">
        <f>INDEX(Data[FY2027 Budget Enrollment],MATCH(A269,Data[Label],0))+INDEX(Data[FY2027 ESAs],MATCH(A269,Data[Label],0))</f>
        <v>665.1</v>
      </c>
      <c r="N269" s="91">
        <f t="shared" si="334"/>
        <v>1103.1100000000001</v>
      </c>
      <c r="O269" s="91">
        <f t="shared" si="335"/>
        <v>83.649999999999991</v>
      </c>
      <c r="P269" s="91">
        <f t="shared" si="336"/>
        <v>74.47</v>
      </c>
      <c r="Q269" s="91">
        <f t="shared" si="337"/>
        <v>393</v>
      </c>
      <c r="R269" s="182">
        <f t="shared" si="345"/>
        <v>733678</v>
      </c>
      <c r="S269" s="182">
        <f t="shared" si="346"/>
        <v>55636</v>
      </c>
      <c r="T269" s="182">
        <f t="shared" si="347"/>
        <v>49530</v>
      </c>
      <c r="U269" s="182">
        <f t="shared" ref="U269" si="349">ROUND($M269*Q269,)</f>
        <v>261384</v>
      </c>
      <c r="V269" s="182">
        <f t="shared" si="339"/>
        <v>0</v>
      </c>
      <c r="W269" s="182">
        <f t="shared" si="340"/>
        <v>1100228</v>
      </c>
      <c r="X269" s="182">
        <f t="shared" si="341"/>
        <v>33173</v>
      </c>
      <c r="Y269" s="183">
        <f t="shared" si="342"/>
        <v>3.1088369390518764E-2</v>
      </c>
      <c r="Z269" s="184">
        <f t="shared" si="343"/>
        <v>10.300000000000068</v>
      </c>
      <c r="AA269" s="185">
        <f t="shared" si="344"/>
        <v>1.5729993891264612E-2</v>
      </c>
    </row>
    <row r="270" spans="1:27" x14ac:dyDescent="0.55000000000000004">
      <c r="A270" s="230" t="s">
        <v>263</v>
      </c>
      <c r="B270" s="176">
        <f>INDEX(Data[FY2026 Budget Enrollment],MATCH(A270,Data[Label],0))+INDEX(Data[FY2026 ESA],MATCH(A270,Data[Label],0))</f>
        <v>188.3</v>
      </c>
      <c r="C270" s="218">
        <f>INDEX(Data[FY2026 TSS],MATCH(A270,Data[Label],0))</f>
        <v>1445.07</v>
      </c>
      <c r="D270" s="218">
        <f>INDEX(Data[FY2026 PD],MATCH(A270,Data[Label],0))</f>
        <v>79.819999999999993</v>
      </c>
      <c r="E270" s="218">
        <f>INDEX(Data[FY2026 Early Intervention],MATCH(A270,Data[Label],0))</f>
        <v>68.900000000000006</v>
      </c>
      <c r="F270" s="218">
        <f>INDEX(Data[FY2026 TLC],MATCH(A270,Data[Label],0))</f>
        <v>385.29</v>
      </c>
      <c r="G270" s="177">
        <f t="shared" si="329"/>
        <v>272107</v>
      </c>
      <c r="H270" s="177">
        <f t="shared" si="330"/>
        <v>15030</v>
      </c>
      <c r="I270" s="177">
        <f t="shared" si="331"/>
        <v>12974</v>
      </c>
      <c r="J270" s="177">
        <f t="shared" si="332"/>
        <v>72550</v>
      </c>
      <c r="K270" s="177">
        <f>INDEX(Data[FY2026 TSS Budget Guarantee],MATCH(A270,Data[Label],0))+INDEX(Data[FY2026 PD Budget Guarantee],MATCH(A270,Data[Label],0))+INDEX(Data[FY2026 Early Intervention Budget Guarantee],MATCH(A270,Data[Label],0))+INDEX(Data[FY2026 TLC Budget Gurantee],MATCH(A270,Data[Label],0))</f>
        <v>2689</v>
      </c>
      <c r="L270" s="177">
        <f t="shared" si="333"/>
        <v>375350</v>
      </c>
      <c r="M270" s="176">
        <f>INDEX(Data[FY2027 Budget Enrollment],MATCH(A270,Data[Label],0))+INDEX(Data[FY2027 ESAs],MATCH(A270,Data[Label],0))</f>
        <v>168.6</v>
      </c>
      <c r="N270" s="218">
        <f t="shared" si="334"/>
        <v>1458.76</v>
      </c>
      <c r="O270" s="218">
        <f t="shared" si="335"/>
        <v>81.36999999999999</v>
      </c>
      <c r="P270" s="218">
        <f t="shared" si="336"/>
        <v>70.59</v>
      </c>
      <c r="Q270" s="218">
        <f t="shared" si="337"/>
        <v>393</v>
      </c>
      <c r="R270" s="177">
        <f t="shared" si="345"/>
        <v>245947</v>
      </c>
      <c r="S270" s="177">
        <f t="shared" si="346"/>
        <v>13719</v>
      </c>
      <c r="T270" s="177">
        <f t="shared" si="347"/>
        <v>11901</v>
      </c>
      <c r="U270" s="177">
        <f t="shared" ref="U270" si="350">ROUND($M270*Q270,0)</f>
        <v>66260</v>
      </c>
      <c r="V270" s="177">
        <f t="shared" si="339"/>
        <v>34834</v>
      </c>
      <c r="W270" s="177">
        <f t="shared" si="340"/>
        <v>372661</v>
      </c>
      <c r="X270" s="177">
        <f t="shared" si="341"/>
        <v>-2689</v>
      </c>
      <c r="Y270" s="178">
        <f t="shared" si="342"/>
        <v>-7.1639802850672705E-3</v>
      </c>
      <c r="Z270" s="179">
        <f t="shared" si="343"/>
        <v>-19.700000000000017</v>
      </c>
      <c r="AA270" s="180">
        <f t="shared" si="344"/>
        <v>-0.10462028677642068</v>
      </c>
    </row>
    <row r="271" spans="1:27" x14ac:dyDescent="0.55000000000000004">
      <c r="A271" s="229" t="s">
        <v>264</v>
      </c>
      <c r="B271" s="181">
        <f>INDEX(Data[FY2026 Budget Enrollment],MATCH(A271,Data[Label],0))+INDEX(Data[FY2026 ESA],MATCH(A271,Data[Label],0))</f>
        <v>1369.4</v>
      </c>
      <c r="C271" s="91">
        <f>INDEX(Data[FY2026 TSS],MATCH(A271,Data[Label],0))</f>
        <v>898.93</v>
      </c>
      <c r="D271" s="91">
        <f>INDEX(Data[FY2026 PD],MATCH(A271,Data[Label],0))</f>
        <v>74.209999999999994</v>
      </c>
      <c r="E271" s="91">
        <f>INDEX(Data[FY2026 Early Intervention],MATCH(A271,Data[Label],0))</f>
        <v>91.03</v>
      </c>
      <c r="F271" s="91">
        <f>INDEX(Data[FY2026 TLC],MATCH(A271,Data[Label],0))</f>
        <v>385.29</v>
      </c>
      <c r="G271" s="182">
        <f t="shared" si="329"/>
        <v>1230995</v>
      </c>
      <c r="H271" s="182">
        <f t="shared" si="330"/>
        <v>101623</v>
      </c>
      <c r="I271" s="182">
        <f t="shared" si="331"/>
        <v>124656</v>
      </c>
      <c r="J271" s="182">
        <f t="shared" si="332"/>
        <v>527616</v>
      </c>
      <c r="K271" s="182">
        <f>INDEX(Data[FY2026 TSS Budget Guarantee],MATCH(A271,Data[Label],0))+INDEX(Data[FY2026 PD Budget Guarantee],MATCH(A271,Data[Label],0))+INDEX(Data[FY2026 Early Intervention Budget Guarantee],MATCH(A271,Data[Label],0))+INDEX(Data[FY2026 TLC Budget Gurantee],MATCH(A271,Data[Label],0))</f>
        <v>2635</v>
      </c>
      <c r="L271" s="182">
        <f t="shared" si="333"/>
        <v>1987525</v>
      </c>
      <c r="M271" s="181">
        <f>INDEX(Data[FY2027 Budget Enrollment],MATCH(A271,Data[Label],0))+INDEX(Data[FY2027 ESAs],MATCH(A271,Data[Label],0))</f>
        <v>1354.5</v>
      </c>
      <c r="N271" s="91">
        <f t="shared" si="334"/>
        <v>912.62</v>
      </c>
      <c r="O271" s="91">
        <f t="shared" si="335"/>
        <v>75.759999999999991</v>
      </c>
      <c r="P271" s="91">
        <f t="shared" si="336"/>
        <v>92.72</v>
      </c>
      <c r="Q271" s="91">
        <f t="shared" si="337"/>
        <v>393</v>
      </c>
      <c r="R271" s="182">
        <f t="shared" si="345"/>
        <v>1236144</v>
      </c>
      <c r="S271" s="182">
        <f t="shared" si="346"/>
        <v>102617</v>
      </c>
      <c r="T271" s="182">
        <f t="shared" si="347"/>
        <v>125589</v>
      </c>
      <c r="U271" s="182">
        <f t="shared" ref="U271" si="351">ROUND($M271*Q271,)</f>
        <v>532319</v>
      </c>
      <c r="V271" s="182">
        <f t="shared" si="339"/>
        <v>0</v>
      </c>
      <c r="W271" s="182">
        <f t="shared" si="340"/>
        <v>1996669</v>
      </c>
      <c r="X271" s="182">
        <f t="shared" si="341"/>
        <v>9144</v>
      </c>
      <c r="Y271" s="183">
        <f t="shared" si="342"/>
        <v>4.6006968465805466E-3</v>
      </c>
      <c r="Z271" s="184">
        <f t="shared" si="343"/>
        <v>-14.900000000000091</v>
      </c>
      <c r="AA271" s="185">
        <f t="shared" si="344"/>
        <v>-1.0880677669052206E-2</v>
      </c>
    </row>
    <row r="272" spans="1:27" x14ac:dyDescent="0.55000000000000004">
      <c r="A272" s="230" t="s">
        <v>265</v>
      </c>
      <c r="B272" s="176">
        <f>INDEX(Data[FY2026 Budget Enrollment],MATCH(A272,Data[Label],0))+INDEX(Data[FY2026 ESA],MATCH(A272,Data[Label],0))</f>
        <v>680.8</v>
      </c>
      <c r="C272" s="218">
        <f>INDEX(Data[FY2026 TSS],MATCH(A272,Data[Label],0))</f>
        <v>947.32</v>
      </c>
      <c r="D272" s="218">
        <f>INDEX(Data[FY2026 PD],MATCH(A272,Data[Label],0))</f>
        <v>80.900000000000006</v>
      </c>
      <c r="E272" s="218">
        <f>INDEX(Data[FY2026 Early Intervention],MATCH(A272,Data[Label],0))</f>
        <v>65.3</v>
      </c>
      <c r="F272" s="218">
        <f>INDEX(Data[FY2026 TLC],MATCH(A272,Data[Label],0))</f>
        <v>385.29</v>
      </c>
      <c r="G272" s="177">
        <f t="shared" si="329"/>
        <v>644935</v>
      </c>
      <c r="H272" s="177">
        <f t="shared" si="330"/>
        <v>55077</v>
      </c>
      <c r="I272" s="177">
        <f t="shared" si="331"/>
        <v>44456</v>
      </c>
      <c r="J272" s="177">
        <f t="shared" si="332"/>
        <v>262305</v>
      </c>
      <c r="K272" s="177">
        <f>INDEX(Data[FY2026 TSS Budget Guarantee],MATCH(A272,Data[Label],0))+INDEX(Data[FY2026 PD Budget Guarantee],MATCH(A272,Data[Label],0))+INDEX(Data[FY2026 Early Intervention Budget Guarantee],MATCH(A272,Data[Label],0))+INDEX(Data[FY2026 TLC Budget Gurantee],MATCH(A272,Data[Label],0))</f>
        <v>0</v>
      </c>
      <c r="L272" s="177">
        <f t="shared" si="333"/>
        <v>1006773</v>
      </c>
      <c r="M272" s="176">
        <f>INDEX(Data[FY2027 Budget Enrollment],MATCH(A272,Data[Label],0))+INDEX(Data[FY2027 ESAs],MATCH(A272,Data[Label],0))</f>
        <v>669.2</v>
      </c>
      <c r="N272" s="218">
        <f t="shared" si="334"/>
        <v>961.0100000000001</v>
      </c>
      <c r="O272" s="218">
        <f t="shared" si="335"/>
        <v>82.45</v>
      </c>
      <c r="P272" s="218">
        <f t="shared" si="336"/>
        <v>66.989999999999995</v>
      </c>
      <c r="Q272" s="218">
        <f t="shared" si="337"/>
        <v>393</v>
      </c>
      <c r="R272" s="177">
        <f t="shared" si="345"/>
        <v>643108</v>
      </c>
      <c r="S272" s="177">
        <f t="shared" si="346"/>
        <v>55176</v>
      </c>
      <c r="T272" s="177">
        <f t="shared" si="347"/>
        <v>44830</v>
      </c>
      <c r="U272" s="177">
        <f t="shared" ref="U272" si="352">ROUND($M272*Q272,0)</f>
        <v>262996</v>
      </c>
      <c r="V272" s="177">
        <f t="shared" si="339"/>
        <v>1827</v>
      </c>
      <c r="W272" s="177">
        <f t="shared" si="340"/>
        <v>1007937</v>
      </c>
      <c r="X272" s="177">
        <f t="shared" si="341"/>
        <v>1164</v>
      </c>
      <c r="Y272" s="178">
        <f t="shared" si="342"/>
        <v>1.1561692655643328E-3</v>
      </c>
      <c r="Z272" s="179">
        <f t="shared" si="343"/>
        <v>-11.599999999999909</v>
      </c>
      <c r="AA272" s="180">
        <f t="shared" si="344"/>
        <v>-1.7038777908342993E-2</v>
      </c>
    </row>
    <row r="273" spans="1:27" x14ac:dyDescent="0.55000000000000004">
      <c r="A273" s="229" t="s">
        <v>266</v>
      </c>
      <c r="B273" s="181">
        <f>INDEX(Data[FY2026 Budget Enrollment],MATCH(A273,Data[Label],0))+INDEX(Data[FY2026 ESA],MATCH(A273,Data[Label],0))</f>
        <v>7625.6</v>
      </c>
      <c r="C273" s="91">
        <f>INDEX(Data[FY2026 TSS],MATCH(A273,Data[Label],0))</f>
        <v>712.7</v>
      </c>
      <c r="D273" s="91">
        <f>INDEX(Data[FY2026 PD],MATCH(A273,Data[Label],0))</f>
        <v>74.36</v>
      </c>
      <c r="E273" s="91">
        <f>INDEX(Data[FY2026 Early Intervention],MATCH(A273,Data[Label],0))</f>
        <v>74.92</v>
      </c>
      <c r="F273" s="91">
        <f>INDEX(Data[FY2026 TLC],MATCH(A273,Data[Label],0))</f>
        <v>385.29</v>
      </c>
      <c r="G273" s="182">
        <f t="shared" si="329"/>
        <v>5434765</v>
      </c>
      <c r="H273" s="182">
        <f t="shared" si="330"/>
        <v>567040</v>
      </c>
      <c r="I273" s="182">
        <f t="shared" si="331"/>
        <v>571310</v>
      </c>
      <c r="J273" s="182">
        <f t="shared" si="332"/>
        <v>2938067</v>
      </c>
      <c r="K273" s="182">
        <f>INDEX(Data[FY2026 TSS Budget Guarantee],MATCH(A273,Data[Label],0))+INDEX(Data[FY2026 PD Budget Guarantee],MATCH(A273,Data[Label],0))+INDEX(Data[FY2026 Early Intervention Budget Guarantee],MATCH(A273,Data[Label],0))+INDEX(Data[FY2026 TLC Budget Gurantee],MATCH(A273,Data[Label],0))</f>
        <v>0</v>
      </c>
      <c r="L273" s="182">
        <f t="shared" si="333"/>
        <v>9511182</v>
      </c>
      <c r="M273" s="181">
        <f>INDEX(Data[FY2027 Budget Enrollment],MATCH(A273,Data[Label],0))+INDEX(Data[FY2027 ESAs],MATCH(A273,Data[Label],0))</f>
        <v>7744.6</v>
      </c>
      <c r="N273" s="91">
        <f t="shared" si="334"/>
        <v>726.3900000000001</v>
      </c>
      <c r="O273" s="91">
        <f t="shared" si="335"/>
        <v>75.91</v>
      </c>
      <c r="P273" s="91">
        <f t="shared" si="336"/>
        <v>76.61</v>
      </c>
      <c r="Q273" s="91">
        <f t="shared" si="337"/>
        <v>393</v>
      </c>
      <c r="R273" s="182">
        <f t="shared" si="345"/>
        <v>5625600</v>
      </c>
      <c r="S273" s="182">
        <f t="shared" si="346"/>
        <v>587893</v>
      </c>
      <c r="T273" s="182">
        <f t="shared" si="347"/>
        <v>593314</v>
      </c>
      <c r="U273" s="182">
        <f t="shared" ref="U273" si="353">ROUND($M273*Q273,)</f>
        <v>3043628</v>
      </c>
      <c r="V273" s="182">
        <f t="shared" si="339"/>
        <v>0</v>
      </c>
      <c r="W273" s="182">
        <f t="shared" si="340"/>
        <v>9850435</v>
      </c>
      <c r="X273" s="182">
        <f t="shared" si="341"/>
        <v>339253</v>
      </c>
      <c r="Y273" s="183">
        <f t="shared" si="342"/>
        <v>3.5668857982109899E-2</v>
      </c>
      <c r="Z273" s="184">
        <f t="shared" si="343"/>
        <v>119</v>
      </c>
      <c r="AA273" s="185">
        <f t="shared" si="344"/>
        <v>1.5605329416701636E-2</v>
      </c>
    </row>
    <row r="274" spans="1:27" x14ac:dyDescent="0.55000000000000004">
      <c r="A274" s="230" t="s">
        <v>267</v>
      </c>
      <c r="B274" s="176">
        <f>INDEX(Data[FY2026 Budget Enrollment],MATCH(A274,Data[Label],0))+INDEX(Data[FY2026 ESA],MATCH(A274,Data[Label],0))</f>
        <v>1127.0999999999999</v>
      </c>
      <c r="C274" s="218">
        <f>INDEX(Data[FY2026 TSS],MATCH(A274,Data[Label],0))</f>
        <v>1261.68</v>
      </c>
      <c r="D274" s="218">
        <f>INDEX(Data[FY2026 PD],MATCH(A274,Data[Label],0))</f>
        <v>87.71</v>
      </c>
      <c r="E274" s="218">
        <f>INDEX(Data[FY2026 Early Intervention],MATCH(A274,Data[Label],0))</f>
        <v>85.41</v>
      </c>
      <c r="F274" s="218">
        <f>INDEX(Data[FY2026 TLC],MATCH(A274,Data[Label],0))</f>
        <v>385.29</v>
      </c>
      <c r="G274" s="177">
        <f t="shared" si="329"/>
        <v>1422040</v>
      </c>
      <c r="H274" s="177">
        <f t="shared" si="330"/>
        <v>98858</v>
      </c>
      <c r="I274" s="177">
        <f t="shared" si="331"/>
        <v>96266</v>
      </c>
      <c r="J274" s="177">
        <f t="shared" si="332"/>
        <v>434260</v>
      </c>
      <c r="K274" s="177">
        <f>INDEX(Data[FY2026 TSS Budget Guarantee],MATCH(A274,Data[Label],0))+INDEX(Data[FY2026 PD Budget Guarantee],MATCH(A274,Data[Label],0))+INDEX(Data[FY2026 Early Intervention Budget Guarantee],MATCH(A274,Data[Label],0))+INDEX(Data[FY2026 TLC Budget Gurantee],MATCH(A274,Data[Label],0))</f>
        <v>0</v>
      </c>
      <c r="L274" s="177">
        <f t="shared" si="333"/>
        <v>2051424</v>
      </c>
      <c r="M274" s="176">
        <f>INDEX(Data[FY2027 Budget Enrollment],MATCH(A274,Data[Label],0))+INDEX(Data[FY2027 ESAs],MATCH(A274,Data[Label],0))</f>
        <v>1079</v>
      </c>
      <c r="N274" s="218">
        <f t="shared" si="334"/>
        <v>1275.3700000000001</v>
      </c>
      <c r="O274" s="218">
        <f t="shared" si="335"/>
        <v>89.259999999999991</v>
      </c>
      <c r="P274" s="218">
        <f t="shared" si="336"/>
        <v>87.1</v>
      </c>
      <c r="Q274" s="218">
        <f t="shared" si="337"/>
        <v>393</v>
      </c>
      <c r="R274" s="177">
        <f t="shared" si="345"/>
        <v>1376124</v>
      </c>
      <c r="S274" s="177">
        <f t="shared" si="346"/>
        <v>96312</v>
      </c>
      <c r="T274" s="177">
        <f t="shared" si="347"/>
        <v>93981</v>
      </c>
      <c r="U274" s="177">
        <f t="shared" ref="U274" si="354">ROUND($M274*Q274,0)</f>
        <v>424047</v>
      </c>
      <c r="V274" s="177">
        <f t="shared" si="339"/>
        <v>60960</v>
      </c>
      <c r="W274" s="177">
        <f t="shared" si="340"/>
        <v>2051424</v>
      </c>
      <c r="X274" s="177">
        <f t="shared" si="341"/>
        <v>0</v>
      </c>
      <c r="Y274" s="178">
        <f t="shared" si="342"/>
        <v>0</v>
      </c>
      <c r="Z274" s="179">
        <f t="shared" si="343"/>
        <v>-48.099999999999909</v>
      </c>
      <c r="AA274" s="180">
        <f t="shared" si="344"/>
        <v>-4.2675893886966472E-2</v>
      </c>
    </row>
    <row r="275" spans="1:27" x14ac:dyDescent="0.55000000000000004">
      <c r="A275" s="229" t="s">
        <v>268</v>
      </c>
      <c r="B275" s="181">
        <f>INDEX(Data[FY2026 Budget Enrollment],MATCH(A275,Data[Label],0))+INDEX(Data[FY2026 ESA],MATCH(A275,Data[Label],0))</f>
        <v>493.9</v>
      </c>
      <c r="C275" s="91">
        <f>INDEX(Data[FY2026 TSS],MATCH(A275,Data[Label],0))</f>
        <v>1133.8399999999999</v>
      </c>
      <c r="D275" s="91">
        <f>INDEX(Data[FY2026 PD],MATCH(A275,Data[Label],0))</f>
        <v>74.319999999999993</v>
      </c>
      <c r="E275" s="91">
        <f>INDEX(Data[FY2026 Early Intervention],MATCH(A275,Data[Label],0))</f>
        <v>73.06</v>
      </c>
      <c r="F275" s="91">
        <f>INDEX(Data[FY2026 TLC],MATCH(A275,Data[Label],0))</f>
        <v>385.29</v>
      </c>
      <c r="G275" s="182">
        <f t="shared" si="329"/>
        <v>560004</v>
      </c>
      <c r="H275" s="182">
        <f t="shared" si="330"/>
        <v>36707</v>
      </c>
      <c r="I275" s="182">
        <f t="shared" si="331"/>
        <v>36084</v>
      </c>
      <c r="J275" s="182">
        <f t="shared" si="332"/>
        <v>190295</v>
      </c>
      <c r="K275" s="182">
        <f>INDEX(Data[FY2026 TSS Budget Guarantee],MATCH(A275,Data[Label],0))+INDEX(Data[FY2026 PD Budget Guarantee],MATCH(A275,Data[Label],0))+INDEX(Data[FY2026 Early Intervention Budget Guarantee],MATCH(A275,Data[Label],0))+INDEX(Data[FY2026 TLC Budget Gurantee],MATCH(A275,Data[Label],0))</f>
        <v>0</v>
      </c>
      <c r="L275" s="182">
        <f t="shared" si="333"/>
        <v>823090</v>
      </c>
      <c r="M275" s="181">
        <f>INDEX(Data[FY2027 Budget Enrollment],MATCH(A275,Data[Label],0))+INDEX(Data[FY2027 ESAs],MATCH(A275,Data[Label],0))</f>
        <v>482</v>
      </c>
      <c r="N275" s="91">
        <f t="shared" si="334"/>
        <v>1147.53</v>
      </c>
      <c r="O275" s="91">
        <f t="shared" si="335"/>
        <v>75.86999999999999</v>
      </c>
      <c r="P275" s="91">
        <f t="shared" si="336"/>
        <v>74.75</v>
      </c>
      <c r="Q275" s="91">
        <f t="shared" si="337"/>
        <v>393</v>
      </c>
      <c r="R275" s="182">
        <f t="shared" si="345"/>
        <v>553109</v>
      </c>
      <c r="S275" s="182">
        <f t="shared" si="346"/>
        <v>36569</v>
      </c>
      <c r="T275" s="182">
        <f t="shared" si="347"/>
        <v>36030</v>
      </c>
      <c r="U275" s="182">
        <f t="shared" ref="U275" si="355">ROUND($M275*Q275,)</f>
        <v>189426</v>
      </c>
      <c r="V275" s="182">
        <f t="shared" si="339"/>
        <v>7956</v>
      </c>
      <c r="W275" s="182">
        <f t="shared" si="340"/>
        <v>823090</v>
      </c>
      <c r="X275" s="182">
        <f t="shared" si="341"/>
        <v>0</v>
      </c>
      <c r="Y275" s="183">
        <f t="shared" si="342"/>
        <v>0</v>
      </c>
      <c r="Z275" s="184">
        <f t="shared" si="343"/>
        <v>-11.899999999999977</v>
      </c>
      <c r="AA275" s="185">
        <f t="shared" si="344"/>
        <v>-2.409394614294387E-2</v>
      </c>
    </row>
    <row r="276" spans="1:27" x14ac:dyDescent="0.55000000000000004">
      <c r="A276" s="230" t="s">
        <v>269</v>
      </c>
      <c r="B276" s="176">
        <f>INDEX(Data[FY2026 Budget Enrollment],MATCH(A276,Data[Label],0))+INDEX(Data[FY2026 ESA],MATCH(A276,Data[Label],0))</f>
        <v>2135.1999999999998</v>
      </c>
      <c r="C276" s="218">
        <f>INDEX(Data[FY2026 TSS],MATCH(A276,Data[Label],0))</f>
        <v>778.96</v>
      </c>
      <c r="D276" s="218">
        <f>INDEX(Data[FY2026 PD],MATCH(A276,Data[Label],0))</f>
        <v>82.9</v>
      </c>
      <c r="E276" s="218">
        <f>INDEX(Data[FY2026 Early Intervention],MATCH(A276,Data[Label],0))</f>
        <v>82.57</v>
      </c>
      <c r="F276" s="218">
        <f>INDEX(Data[FY2026 TLC],MATCH(A276,Data[Label],0))</f>
        <v>385.29</v>
      </c>
      <c r="G276" s="177">
        <f t="shared" si="329"/>
        <v>1663235</v>
      </c>
      <c r="H276" s="177">
        <f t="shared" si="330"/>
        <v>177008</v>
      </c>
      <c r="I276" s="177">
        <f t="shared" si="331"/>
        <v>176303</v>
      </c>
      <c r="J276" s="177">
        <f t="shared" si="332"/>
        <v>822671</v>
      </c>
      <c r="K276" s="177">
        <f>INDEX(Data[FY2026 TSS Budget Guarantee],MATCH(A276,Data[Label],0))+INDEX(Data[FY2026 PD Budget Guarantee],MATCH(A276,Data[Label],0))+INDEX(Data[FY2026 Early Intervention Budget Guarantee],MATCH(A276,Data[Label],0))+INDEX(Data[FY2026 TLC Budget Gurantee],MATCH(A276,Data[Label],0))</f>
        <v>0</v>
      </c>
      <c r="L276" s="177">
        <f t="shared" si="333"/>
        <v>2839217</v>
      </c>
      <c r="M276" s="176">
        <f>INDEX(Data[FY2027 Budget Enrollment],MATCH(A276,Data[Label],0))+INDEX(Data[FY2027 ESAs],MATCH(A276,Data[Label],0))</f>
        <v>2102.9</v>
      </c>
      <c r="N276" s="218">
        <f t="shared" si="334"/>
        <v>792.65000000000009</v>
      </c>
      <c r="O276" s="218">
        <f t="shared" si="335"/>
        <v>84.45</v>
      </c>
      <c r="P276" s="218">
        <f t="shared" si="336"/>
        <v>84.259999999999991</v>
      </c>
      <c r="Q276" s="218">
        <f t="shared" si="337"/>
        <v>393</v>
      </c>
      <c r="R276" s="177">
        <f t="shared" si="345"/>
        <v>1666864</v>
      </c>
      <c r="S276" s="177">
        <f t="shared" si="346"/>
        <v>177590</v>
      </c>
      <c r="T276" s="177">
        <f t="shared" si="347"/>
        <v>177190</v>
      </c>
      <c r="U276" s="177">
        <f t="shared" ref="U276" si="356">ROUND($M276*Q276,0)</f>
        <v>826440</v>
      </c>
      <c r="V276" s="177">
        <f t="shared" si="339"/>
        <v>0</v>
      </c>
      <c r="W276" s="177">
        <f t="shared" si="340"/>
        <v>2848084</v>
      </c>
      <c r="X276" s="177">
        <f t="shared" si="341"/>
        <v>8867</v>
      </c>
      <c r="Y276" s="178">
        <f t="shared" si="342"/>
        <v>3.123044135055545E-3</v>
      </c>
      <c r="Z276" s="179">
        <f t="shared" si="343"/>
        <v>-32.299999999999727</v>
      </c>
      <c r="AA276" s="180">
        <f t="shared" si="344"/>
        <v>-1.5127388535031721E-2</v>
      </c>
    </row>
    <row r="277" spans="1:27" x14ac:dyDescent="0.55000000000000004">
      <c r="A277" s="229" t="s">
        <v>270</v>
      </c>
      <c r="B277" s="181">
        <f>INDEX(Data[FY2026 Budget Enrollment],MATCH(A277,Data[Label],0))+INDEX(Data[FY2026 ESA],MATCH(A277,Data[Label],0))</f>
        <v>1149.9000000000001</v>
      </c>
      <c r="C277" s="91">
        <f>INDEX(Data[FY2026 TSS],MATCH(A277,Data[Label],0))</f>
        <v>845.27</v>
      </c>
      <c r="D277" s="91">
        <f>INDEX(Data[FY2026 PD],MATCH(A277,Data[Label],0))</f>
        <v>81</v>
      </c>
      <c r="E277" s="91">
        <f>INDEX(Data[FY2026 Early Intervention],MATCH(A277,Data[Label],0))</f>
        <v>78.92</v>
      </c>
      <c r="F277" s="91">
        <f>INDEX(Data[FY2026 TLC],MATCH(A277,Data[Label],0))</f>
        <v>385.29</v>
      </c>
      <c r="G277" s="182">
        <f t="shared" si="329"/>
        <v>971976</v>
      </c>
      <c r="H277" s="182">
        <f t="shared" si="330"/>
        <v>93142</v>
      </c>
      <c r="I277" s="182">
        <f t="shared" si="331"/>
        <v>90750</v>
      </c>
      <c r="J277" s="182">
        <f t="shared" si="332"/>
        <v>443045</v>
      </c>
      <c r="K277" s="182">
        <f>INDEX(Data[FY2026 TSS Budget Guarantee],MATCH(A277,Data[Label],0))+INDEX(Data[FY2026 PD Budget Guarantee],MATCH(A277,Data[Label],0))+INDEX(Data[FY2026 Early Intervention Budget Guarantee],MATCH(A277,Data[Label],0))+INDEX(Data[FY2026 TLC Budget Gurantee],MATCH(A277,Data[Label],0))</f>
        <v>0</v>
      </c>
      <c r="L277" s="182">
        <f t="shared" si="333"/>
        <v>1598913</v>
      </c>
      <c r="M277" s="181">
        <f>INDEX(Data[FY2027 Budget Enrollment],MATCH(A277,Data[Label],0))+INDEX(Data[FY2027 ESAs],MATCH(A277,Data[Label],0))</f>
        <v>1125.7</v>
      </c>
      <c r="N277" s="91">
        <f t="shared" si="334"/>
        <v>858.96</v>
      </c>
      <c r="O277" s="91">
        <f t="shared" si="335"/>
        <v>82.55</v>
      </c>
      <c r="P277" s="91">
        <f t="shared" si="336"/>
        <v>80.61</v>
      </c>
      <c r="Q277" s="91">
        <f t="shared" si="337"/>
        <v>393</v>
      </c>
      <c r="R277" s="182">
        <f t="shared" si="345"/>
        <v>966931</v>
      </c>
      <c r="S277" s="182">
        <f t="shared" si="346"/>
        <v>92927</v>
      </c>
      <c r="T277" s="182">
        <f t="shared" si="347"/>
        <v>90743</v>
      </c>
      <c r="U277" s="182">
        <f t="shared" ref="U277" si="357">ROUND($M277*Q277,)</f>
        <v>442400</v>
      </c>
      <c r="V277" s="182">
        <f t="shared" si="339"/>
        <v>5912</v>
      </c>
      <c r="W277" s="182">
        <f t="shared" si="340"/>
        <v>1598913</v>
      </c>
      <c r="X277" s="182">
        <f t="shared" si="341"/>
        <v>0</v>
      </c>
      <c r="Y277" s="183">
        <f t="shared" si="342"/>
        <v>0</v>
      </c>
      <c r="Z277" s="184">
        <f t="shared" si="343"/>
        <v>-24.200000000000045</v>
      </c>
      <c r="AA277" s="185">
        <f t="shared" si="344"/>
        <v>-2.1045308287677228E-2</v>
      </c>
    </row>
    <row r="278" spans="1:27" x14ac:dyDescent="0.55000000000000004">
      <c r="A278" s="230" t="s">
        <v>271</v>
      </c>
      <c r="B278" s="176">
        <f>INDEX(Data[FY2026 Budget Enrollment],MATCH(A278,Data[Label],0))+INDEX(Data[FY2026 ESA],MATCH(A278,Data[Label],0))</f>
        <v>413</v>
      </c>
      <c r="C278" s="218">
        <f>INDEX(Data[FY2026 TSS],MATCH(A278,Data[Label],0))</f>
        <v>1540.12</v>
      </c>
      <c r="D278" s="218">
        <f>INDEX(Data[FY2026 PD],MATCH(A278,Data[Label],0))</f>
        <v>71.849999999999994</v>
      </c>
      <c r="E278" s="218">
        <f>INDEX(Data[FY2026 Early Intervention],MATCH(A278,Data[Label],0))</f>
        <v>68.22</v>
      </c>
      <c r="F278" s="218">
        <f>INDEX(Data[FY2026 TLC],MATCH(A278,Data[Label],0))</f>
        <v>385.29</v>
      </c>
      <c r="G278" s="177">
        <f t="shared" si="329"/>
        <v>636070</v>
      </c>
      <c r="H278" s="177">
        <f t="shared" si="330"/>
        <v>29674</v>
      </c>
      <c r="I278" s="177">
        <f t="shared" si="331"/>
        <v>28175</v>
      </c>
      <c r="J278" s="177">
        <f t="shared" si="332"/>
        <v>159125</v>
      </c>
      <c r="K278" s="177">
        <f>INDEX(Data[FY2026 TSS Budget Guarantee],MATCH(A278,Data[Label],0))+INDEX(Data[FY2026 PD Budget Guarantee],MATCH(A278,Data[Label],0))+INDEX(Data[FY2026 Early Intervention Budget Guarantee],MATCH(A278,Data[Label],0))+INDEX(Data[FY2026 TLC Budget Gurantee],MATCH(A278,Data[Label],0))</f>
        <v>0</v>
      </c>
      <c r="L278" s="177">
        <f t="shared" si="333"/>
        <v>853044</v>
      </c>
      <c r="M278" s="176">
        <f>INDEX(Data[FY2027 Budget Enrollment],MATCH(A278,Data[Label],0))+INDEX(Data[FY2027 ESAs],MATCH(A278,Data[Label],0))</f>
        <v>415.5</v>
      </c>
      <c r="N278" s="218">
        <f t="shared" si="334"/>
        <v>1553.81</v>
      </c>
      <c r="O278" s="218">
        <f t="shared" si="335"/>
        <v>73.399999999999991</v>
      </c>
      <c r="P278" s="218">
        <f t="shared" si="336"/>
        <v>69.91</v>
      </c>
      <c r="Q278" s="218">
        <f t="shared" si="337"/>
        <v>393</v>
      </c>
      <c r="R278" s="177">
        <f t="shared" si="345"/>
        <v>645608</v>
      </c>
      <c r="S278" s="177">
        <f t="shared" si="346"/>
        <v>30498</v>
      </c>
      <c r="T278" s="177">
        <f t="shared" si="347"/>
        <v>29048</v>
      </c>
      <c r="U278" s="177">
        <f t="shared" ref="U278" si="358">ROUND($M278*Q278,0)</f>
        <v>163292</v>
      </c>
      <c r="V278" s="177">
        <f t="shared" si="339"/>
        <v>0</v>
      </c>
      <c r="W278" s="177">
        <f t="shared" si="340"/>
        <v>868446</v>
      </c>
      <c r="X278" s="177">
        <f t="shared" si="341"/>
        <v>15402</v>
      </c>
      <c r="Y278" s="178">
        <f t="shared" si="342"/>
        <v>1.805534063893539E-2</v>
      </c>
      <c r="Z278" s="179">
        <f t="shared" si="343"/>
        <v>2.5</v>
      </c>
      <c r="AA278" s="180">
        <f t="shared" si="344"/>
        <v>6.0532687651331718E-3</v>
      </c>
    </row>
    <row r="279" spans="1:27" x14ac:dyDescent="0.55000000000000004">
      <c r="A279" s="229" t="s">
        <v>272</v>
      </c>
      <c r="B279" s="181">
        <f>INDEX(Data[FY2026 Budget Enrollment],MATCH(A279,Data[Label],0))+INDEX(Data[FY2026 ESA],MATCH(A279,Data[Label],0))</f>
        <v>612.29999999999995</v>
      </c>
      <c r="C279" s="91">
        <f>INDEX(Data[FY2026 TSS],MATCH(A279,Data[Label],0))</f>
        <v>936.63</v>
      </c>
      <c r="D279" s="91">
        <f>INDEX(Data[FY2026 PD],MATCH(A279,Data[Label],0))</f>
        <v>78.569999999999993</v>
      </c>
      <c r="E279" s="91">
        <f>INDEX(Data[FY2026 Early Intervention],MATCH(A279,Data[Label],0))</f>
        <v>76.3</v>
      </c>
      <c r="F279" s="91">
        <f>INDEX(Data[FY2026 TLC],MATCH(A279,Data[Label],0))</f>
        <v>385.29</v>
      </c>
      <c r="G279" s="182">
        <f t="shared" si="329"/>
        <v>573499</v>
      </c>
      <c r="H279" s="182">
        <f t="shared" si="330"/>
        <v>48108</v>
      </c>
      <c r="I279" s="182">
        <f t="shared" si="331"/>
        <v>46718</v>
      </c>
      <c r="J279" s="182">
        <f t="shared" si="332"/>
        <v>235913</v>
      </c>
      <c r="K279" s="182">
        <f>INDEX(Data[FY2026 TSS Budget Guarantee],MATCH(A279,Data[Label],0))+INDEX(Data[FY2026 PD Budget Guarantee],MATCH(A279,Data[Label],0))+INDEX(Data[FY2026 Early Intervention Budget Guarantee],MATCH(A279,Data[Label],0))+INDEX(Data[FY2026 TLC Budget Gurantee],MATCH(A279,Data[Label],0))</f>
        <v>0</v>
      </c>
      <c r="L279" s="182">
        <f t="shared" si="333"/>
        <v>904238</v>
      </c>
      <c r="M279" s="181">
        <f>INDEX(Data[FY2027 Budget Enrollment],MATCH(A279,Data[Label],0))+INDEX(Data[FY2027 ESAs],MATCH(A279,Data[Label],0))</f>
        <v>615.70000000000005</v>
      </c>
      <c r="N279" s="91">
        <f t="shared" si="334"/>
        <v>950.32</v>
      </c>
      <c r="O279" s="91">
        <f t="shared" si="335"/>
        <v>80.11999999999999</v>
      </c>
      <c r="P279" s="91">
        <f t="shared" si="336"/>
        <v>77.989999999999995</v>
      </c>
      <c r="Q279" s="91">
        <f t="shared" si="337"/>
        <v>393</v>
      </c>
      <c r="R279" s="182">
        <f t="shared" si="345"/>
        <v>585112</v>
      </c>
      <c r="S279" s="182">
        <f t="shared" si="346"/>
        <v>49330</v>
      </c>
      <c r="T279" s="182">
        <f t="shared" si="347"/>
        <v>48018</v>
      </c>
      <c r="U279" s="182">
        <f t="shared" ref="U279" si="359">ROUND($M279*Q279,)</f>
        <v>241970</v>
      </c>
      <c r="V279" s="182">
        <f t="shared" si="339"/>
        <v>0</v>
      </c>
      <c r="W279" s="182">
        <f t="shared" si="340"/>
        <v>924430</v>
      </c>
      <c r="X279" s="182">
        <f t="shared" si="341"/>
        <v>20192</v>
      </c>
      <c r="Y279" s="183">
        <f t="shared" si="342"/>
        <v>2.2330404163505627E-2</v>
      </c>
      <c r="Z279" s="184">
        <f t="shared" si="343"/>
        <v>3.4000000000000909</v>
      </c>
      <c r="AA279" s="185">
        <f t="shared" si="344"/>
        <v>5.5528335783114344E-3</v>
      </c>
    </row>
    <row r="280" spans="1:27" x14ac:dyDescent="0.55000000000000004">
      <c r="A280" s="230" t="s">
        <v>273</v>
      </c>
      <c r="B280" s="176">
        <f>INDEX(Data[FY2026 Budget Enrollment],MATCH(A280,Data[Label],0))+INDEX(Data[FY2026 ESA],MATCH(A280,Data[Label],0))</f>
        <v>198.1</v>
      </c>
      <c r="C280" s="218">
        <f>INDEX(Data[FY2026 TSS],MATCH(A280,Data[Label],0))</f>
        <v>1452.54</v>
      </c>
      <c r="D280" s="218">
        <f>INDEX(Data[FY2026 PD],MATCH(A280,Data[Label],0))</f>
        <v>94.94</v>
      </c>
      <c r="E280" s="218">
        <f>INDEX(Data[FY2026 Early Intervention],MATCH(A280,Data[Label],0))</f>
        <v>79.95</v>
      </c>
      <c r="F280" s="218">
        <f>INDEX(Data[FY2026 TLC],MATCH(A280,Data[Label],0))</f>
        <v>385.29</v>
      </c>
      <c r="G280" s="177">
        <f t="shared" si="329"/>
        <v>287748</v>
      </c>
      <c r="H280" s="177">
        <f t="shared" si="330"/>
        <v>18808</v>
      </c>
      <c r="I280" s="177">
        <f t="shared" si="331"/>
        <v>15838</v>
      </c>
      <c r="J280" s="177">
        <f t="shared" si="332"/>
        <v>76326</v>
      </c>
      <c r="K280" s="177">
        <f>INDEX(Data[FY2026 TSS Budget Guarantee],MATCH(A280,Data[Label],0))+INDEX(Data[FY2026 PD Budget Guarantee],MATCH(A280,Data[Label],0))+INDEX(Data[FY2026 Early Intervention Budget Guarantee],MATCH(A280,Data[Label],0))+INDEX(Data[FY2026 TLC Budget Gurantee],MATCH(A280,Data[Label],0))</f>
        <v>0</v>
      </c>
      <c r="L280" s="177">
        <f t="shared" si="333"/>
        <v>398720</v>
      </c>
      <c r="M280" s="176">
        <f>INDEX(Data[FY2027 Budget Enrollment],MATCH(A280,Data[Label],0))+INDEX(Data[FY2027 ESAs],MATCH(A280,Data[Label],0))</f>
        <v>184.2</v>
      </c>
      <c r="N280" s="218">
        <f t="shared" si="334"/>
        <v>1466.23</v>
      </c>
      <c r="O280" s="218">
        <f t="shared" si="335"/>
        <v>96.49</v>
      </c>
      <c r="P280" s="218">
        <f t="shared" si="336"/>
        <v>81.64</v>
      </c>
      <c r="Q280" s="218">
        <f t="shared" si="337"/>
        <v>393</v>
      </c>
      <c r="R280" s="177">
        <f t="shared" si="345"/>
        <v>270080</v>
      </c>
      <c r="S280" s="177">
        <f t="shared" si="346"/>
        <v>17773</v>
      </c>
      <c r="T280" s="177">
        <f t="shared" si="347"/>
        <v>15038</v>
      </c>
      <c r="U280" s="177">
        <f t="shared" ref="U280" si="360">ROUND($M280*Q280,0)</f>
        <v>72391</v>
      </c>
      <c r="V280" s="177">
        <f t="shared" si="339"/>
        <v>23438</v>
      </c>
      <c r="W280" s="177">
        <f t="shared" si="340"/>
        <v>398720</v>
      </c>
      <c r="X280" s="177">
        <f t="shared" si="341"/>
        <v>0</v>
      </c>
      <c r="Y280" s="178">
        <f t="shared" si="342"/>
        <v>0</v>
      </c>
      <c r="Z280" s="179">
        <f t="shared" si="343"/>
        <v>-13.900000000000006</v>
      </c>
      <c r="AA280" s="180">
        <f t="shared" si="344"/>
        <v>-7.0166582534073735E-2</v>
      </c>
    </row>
    <row r="281" spans="1:27" x14ac:dyDescent="0.55000000000000004">
      <c r="A281" s="229" t="s">
        <v>274</v>
      </c>
      <c r="B281" s="181">
        <f>INDEX(Data[FY2026 Budget Enrollment],MATCH(A281,Data[Label],0))+INDEX(Data[FY2026 ESA],MATCH(A281,Data[Label],0))</f>
        <v>542</v>
      </c>
      <c r="C281" s="91">
        <f>INDEX(Data[FY2026 TSS],MATCH(A281,Data[Label],0))</f>
        <v>1069.03</v>
      </c>
      <c r="D281" s="91">
        <f>INDEX(Data[FY2026 PD],MATCH(A281,Data[Label],0))</f>
        <v>82.35</v>
      </c>
      <c r="E281" s="91">
        <f>INDEX(Data[FY2026 Early Intervention],MATCH(A281,Data[Label],0))</f>
        <v>90.97</v>
      </c>
      <c r="F281" s="91">
        <f>INDEX(Data[FY2026 TLC],MATCH(A281,Data[Label],0))</f>
        <v>385.29</v>
      </c>
      <c r="G281" s="182">
        <f t="shared" si="329"/>
        <v>579414</v>
      </c>
      <c r="H281" s="182">
        <f t="shared" si="330"/>
        <v>44634</v>
      </c>
      <c r="I281" s="182">
        <f t="shared" si="331"/>
        <v>49306</v>
      </c>
      <c r="J281" s="182">
        <f t="shared" si="332"/>
        <v>208827</v>
      </c>
      <c r="K281" s="182">
        <f>INDEX(Data[FY2026 TSS Budget Guarantee],MATCH(A281,Data[Label],0))+INDEX(Data[FY2026 PD Budget Guarantee],MATCH(A281,Data[Label],0))+INDEX(Data[FY2026 Early Intervention Budget Guarantee],MATCH(A281,Data[Label],0))+INDEX(Data[FY2026 TLC Budget Gurantee],MATCH(A281,Data[Label],0))</f>
        <v>13305</v>
      </c>
      <c r="L281" s="182">
        <f t="shared" si="333"/>
        <v>895486</v>
      </c>
      <c r="M281" s="181">
        <f>INDEX(Data[FY2027 Budget Enrollment],MATCH(A281,Data[Label],0))+INDEX(Data[FY2027 ESAs],MATCH(A281,Data[Label],0))</f>
        <v>532.9</v>
      </c>
      <c r="N281" s="91">
        <f t="shared" si="334"/>
        <v>1082.72</v>
      </c>
      <c r="O281" s="91">
        <f t="shared" si="335"/>
        <v>83.899999999999991</v>
      </c>
      <c r="P281" s="91">
        <f t="shared" si="336"/>
        <v>92.66</v>
      </c>
      <c r="Q281" s="91">
        <f t="shared" si="337"/>
        <v>393</v>
      </c>
      <c r="R281" s="182">
        <f t="shared" si="345"/>
        <v>576981</v>
      </c>
      <c r="S281" s="182">
        <f t="shared" si="346"/>
        <v>44710</v>
      </c>
      <c r="T281" s="182">
        <f t="shared" si="347"/>
        <v>49379</v>
      </c>
      <c r="U281" s="182">
        <f t="shared" ref="U281" si="361">ROUND($M281*Q281,)</f>
        <v>209430</v>
      </c>
      <c r="V281" s="182">
        <f t="shared" si="339"/>
        <v>2433</v>
      </c>
      <c r="W281" s="182">
        <f t="shared" si="340"/>
        <v>882933</v>
      </c>
      <c r="X281" s="182">
        <f t="shared" si="341"/>
        <v>-12553</v>
      </c>
      <c r="Y281" s="183">
        <f t="shared" si="342"/>
        <v>-1.4018086268238699E-2</v>
      </c>
      <c r="Z281" s="184">
        <f t="shared" si="343"/>
        <v>-9.1000000000000227</v>
      </c>
      <c r="AA281" s="185">
        <f t="shared" si="344"/>
        <v>-1.678966789667901E-2</v>
      </c>
    </row>
    <row r="282" spans="1:27" x14ac:dyDescent="0.55000000000000004">
      <c r="A282" s="230" t="s">
        <v>275</v>
      </c>
      <c r="B282" s="176">
        <f>INDEX(Data[FY2026 Budget Enrollment],MATCH(A282,Data[Label],0))+INDEX(Data[FY2026 ESA],MATCH(A282,Data[Label],0))</f>
        <v>2828</v>
      </c>
      <c r="C282" s="218">
        <f>INDEX(Data[FY2026 TSS],MATCH(A282,Data[Label],0))</f>
        <v>780.54</v>
      </c>
      <c r="D282" s="218">
        <f>INDEX(Data[FY2026 PD],MATCH(A282,Data[Label],0))</f>
        <v>77.14</v>
      </c>
      <c r="E282" s="218">
        <f>INDEX(Data[FY2026 Early Intervention],MATCH(A282,Data[Label],0))</f>
        <v>96.58</v>
      </c>
      <c r="F282" s="218">
        <f>INDEX(Data[FY2026 TLC],MATCH(A282,Data[Label],0))</f>
        <v>385.29</v>
      </c>
      <c r="G282" s="177">
        <f t="shared" si="329"/>
        <v>2207367</v>
      </c>
      <c r="H282" s="177">
        <f t="shared" si="330"/>
        <v>218152</v>
      </c>
      <c r="I282" s="177">
        <f t="shared" si="331"/>
        <v>273128</v>
      </c>
      <c r="J282" s="177">
        <f t="shared" si="332"/>
        <v>1089600</v>
      </c>
      <c r="K282" s="177">
        <f>INDEX(Data[FY2026 TSS Budget Guarantee],MATCH(A282,Data[Label],0))+INDEX(Data[FY2026 PD Budget Guarantee],MATCH(A282,Data[Label],0))+INDEX(Data[FY2026 Early Intervention Budget Guarantee],MATCH(A282,Data[Label],0))+INDEX(Data[FY2026 TLC Budget Gurantee],MATCH(A282,Data[Label],0))</f>
        <v>0</v>
      </c>
      <c r="L282" s="177">
        <f t="shared" si="333"/>
        <v>3788247</v>
      </c>
      <c r="M282" s="176">
        <f>INDEX(Data[FY2027 Budget Enrollment],MATCH(A282,Data[Label],0))+INDEX(Data[FY2027 ESAs],MATCH(A282,Data[Label],0))</f>
        <v>2814.2</v>
      </c>
      <c r="N282" s="218">
        <f t="shared" si="334"/>
        <v>794.23</v>
      </c>
      <c r="O282" s="218">
        <f t="shared" si="335"/>
        <v>78.69</v>
      </c>
      <c r="P282" s="218">
        <f t="shared" si="336"/>
        <v>98.27</v>
      </c>
      <c r="Q282" s="218">
        <f t="shared" si="337"/>
        <v>393</v>
      </c>
      <c r="R282" s="177">
        <f t="shared" si="345"/>
        <v>2235122</v>
      </c>
      <c r="S282" s="177">
        <f t="shared" si="346"/>
        <v>221449</v>
      </c>
      <c r="T282" s="177">
        <f t="shared" si="347"/>
        <v>276551</v>
      </c>
      <c r="U282" s="177">
        <f t="shared" ref="U282" si="362">ROUND($M282*Q282,0)</f>
        <v>1105981</v>
      </c>
      <c r="V282" s="177">
        <f t="shared" si="339"/>
        <v>0</v>
      </c>
      <c r="W282" s="177">
        <f t="shared" si="340"/>
        <v>3839103</v>
      </c>
      <c r="X282" s="177">
        <f t="shared" si="341"/>
        <v>50856</v>
      </c>
      <c r="Y282" s="178">
        <f t="shared" si="342"/>
        <v>1.3424679013802426E-2</v>
      </c>
      <c r="Z282" s="179">
        <f t="shared" si="343"/>
        <v>-13.800000000000182</v>
      </c>
      <c r="AA282" s="180">
        <f t="shared" si="344"/>
        <v>-4.8797736916549438E-3</v>
      </c>
    </row>
    <row r="283" spans="1:27" x14ac:dyDescent="0.55000000000000004">
      <c r="A283" s="229" t="s">
        <v>276</v>
      </c>
      <c r="B283" s="181">
        <f>INDEX(Data[FY2026 Budget Enrollment],MATCH(A283,Data[Label],0))+INDEX(Data[FY2026 ESA],MATCH(A283,Data[Label],0))</f>
        <v>141.1</v>
      </c>
      <c r="C283" s="91">
        <f>INDEX(Data[FY2026 TSS],MATCH(A283,Data[Label],0))</f>
        <v>1350.85</v>
      </c>
      <c r="D283" s="91">
        <f>INDEX(Data[FY2026 PD],MATCH(A283,Data[Label],0))</f>
        <v>66.33</v>
      </c>
      <c r="E283" s="91">
        <f>INDEX(Data[FY2026 Early Intervention],MATCH(A283,Data[Label],0))</f>
        <v>75.010000000000005</v>
      </c>
      <c r="F283" s="91">
        <f>INDEX(Data[FY2026 TLC],MATCH(A283,Data[Label],0))</f>
        <v>385.29</v>
      </c>
      <c r="G283" s="182">
        <f t="shared" si="329"/>
        <v>190605</v>
      </c>
      <c r="H283" s="182">
        <f t="shared" si="330"/>
        <v>9359</v>
      </c>
      <c r="I283" s="182">
        <f t="shared" si="331"/>
        <v>10584</v>
      </c>
      <c r="J283" s="182">
        <f t="shared" si="332"/>
        <v>54364</v>
      </c>
      <c r="K283" s="182">
        <f>INDEX(Data[FY2026 TSS Budget Guarantee],MATCH(A283,Data[Label],0))+INDEX(Data[FY2026 PD Budget Guarantee],MATCH(A283,Data[Label],0))+INDEX(Data[FY2026 Early Intervention Budget Guarantee],MATCH(A283,Data[Label],0))+INDEX(Data[FY2026 TLC Budget Gurantee],MATCH(A283,Data[Label],0))</f>
        <v>3026</v>
      </c>
      <c r="L283" s="182">
        <f t="shared" si="333"/>
        <v>267938</v>
      </c>
      <c r="M283" s="181">
        <f>INDEX(Data[FY2027 Budget Enrollment],MATCH(A283,Data[Label],0))+INDEX(Data[FY2027 ESAs],MATCH(A283,Data[Label],0))</f>
        <v>145.1</v>
      </c>
      <c r="N283" s="91">
        <f t="shared" si="334"/>
        <v>1364.54</v>
      </c>
      <c r="O283" s="91">
        <f t="shared" si="335"/>
        <v>67.88</v>
      </c>
      <c r="P283" s="91">
        <f t="shared" si="336"/>
        <v>76.7</v>
      </c>
      <c r="Q283" s="91">
        <f t="shared" si="337"/>
        <v>393</v>
      </c>
      <c r="R283" s="182">
        <f t="shared" si="345"/>
        <v>197995</v>
      </c>
      <c r="S283" s="182">
        <f t="shared" si="346"/>
        <v>9849</v>
      </c>
      <c r="T283" s="182">
        <f t="shared" si="347"/>
        <v>11129</v>
      </c>
      <c r="U283" s="182">
        <f t="shared" ref="U283" si="363">ROUND($M283*Q283,)</f>
        <v>57024</v>
      </c>
      <c r="V283" s="182">
        <f t="shared" si="339"/>
        <v>0</v>
      </c>
      <c r="W283" s="182">
        <f t="shared" si="340"/>
        <v>275997</v>
      </c>
      <c r="X283" s="182">
        <f t="shared" si="341"/>
        <v>8059</v>
      </c>
      <c r="Y283" s="183">
        <f t="shared" si="342"/>
        <v>3.0077853831856623E-2</v>
      </c>
      <c r="Z283" s="184">
        <f t="shared" si="343"/>
        <v>4</v>
      </c>
      <c r="AA283" s="185">
        <f t="shared" si="344"/>
        <v>2.834868887313962E-2</v>
      </c>
    </row>
    <row r="284" spans="1:27" x14ac:dyDescent="0.55000000000000004">
      <c r="A284" s="230" t="s">
        <v>277</v>
      </c>
      <c r="B284" s="176">
        <f>INDEX(Data[FY2026 Budget Enrollment],MATCH(A284,Data[Label],0))+INDEX(Data[FY2026 ESA],MATCH(A284,Data[Label],0))</f>
        <v>763</v>
      </c>
      <c r="C284" s="218">
        <f>INDEX(Data[FY2026 TSS],MATCH(A284,Data[Label],0))</f>
        <v>949.67</v>
      </c>
      <c r="D284" s="218">
        <f>INDEX(Data[FY2026 PD],MATCH(A284,Data[Label],0))</f>
        <v>77.55</v>
      </c>
      <c r="E284" s="218">
        <f>INDEX(Data[FY2026 Early Intervention],MATCH(A284,Data[Label],0))</f>
        <v>73.56</v>
      </c>
      <c r="F284" s="218">
        <f>INDEX(Data[FY2026 TLC],MATCH(A284,Data[Label],0))</f>
        <v>385.29</v>
      </c>
      <c r="G284" s="177">
        <f t="shared" si="329"/>
        <v>724598</v>
      </c>
      <c r="H284" s="177">
        <f t="shared" si="330"/>
        <v>59171</v>
      </c>
      <c r="I284" s="177">
        <f t="shared" si="331"/>
        <v>56126</v>
      </c>
      <c r="J284" s="177">
        <f t="shared" si="332"/>
        <v>293976</v>
      </c>
      <c r="K284" s="177">
        <f>INDEX(Data[FY2026 TSS Budget Guarantee],MATCH(A284,Data[Label],0))+INDEX(Data[FY2026 PD Budget Guarantee],MATCH(A284,Data[Label],0))+INDEX(Data[FY2026 Early Intervention Budget Guarantee],MATCH(A284,Data[Label],0))+INDEX(Data[FY2026 TLC Budget Gurantee],MATCH(A284,Data[Label],0))</f>
        <v>930</v>
      </c>
      <c r="L284" s="177">
        <f t="shared" si="333"/>
        <v>1134801</v>
      </c>
      <c r="M284" s="176">
        <f>INDEX(Data[FY2027 Budget Enrollment],MATCH(A284,Data[Label],0))+INDEX(Data[FY2027 ESAs],MATCH(A284,Data[Label],0))</f>
        <v>741.3</v>
      </c>
      <c r="N284" s="218">
        <f t="shared" si="334"/>
        <v>963.36</v>
      </c>
      <c r="O284" s="218">
        <f t="shared" si="335"/>
        <v>79.099999999999994</v>
      </c>
      <c r="P284" s="218">
        <f t="shared" si="336"/>
        <v>75.25</v>
      </c>
      <c r="Q284" s="218">
        <f t="shared" si="337"/>
        <v>393</v>
      </c>
      <c r="R284" s="177">
        <f t="shared" si="345"/>
        <v>714139</v>
      </c>
      <c r="S284" s="177">
        <f t="shared" si="346"/>
        <v>58637</v>
      </c>
      <c r="T284" s="177">
        <f t="shared" si="347"/>
        <v>55783</v>
      </c>
      <c r="U284" s="177">
        <f t="shared" ref="U284" si="364">ROUND($M284*Q284,0)</f>
        <v>291331</v>
      </c>
      <c r="V284" s="177">
        <f t="shared" si="339"/>
        <v>13981</v>
      </c>
      <c r="W284" s="177">
        <f t="shared" si="340"/>
        <v>1133871</v>
      </c>
      <c r="X284" s="177">
        <f t="shared" si="341"/>
        <v>-930</v>
      </c>
      <c r="Y284" s="178">
        <f t="shared" si="342"/>
        <v>-8.1952694789659151E-4</v>
      </c>
      <c r="Z284" s="179">
        <f t="shared" si="343"/>
        <v>-21.700000000000045</v>
      </c>
      <c r="AA284" s="180">
        <f t="shared" si="344"/>
        <v>-2.8440366972477125E-2</v>
      </c>
    </row>
    <row r="285" spans="1:27" x14ac:dyDescent="0.55000000000000004">
      <c r="A285" s="229" t="s">
        <v>278</v>
      </c>
      <c r="B285" s="181">
        <f>INDEX(Data[FY2026 Budget Enrollment],MATCH(A285,Data[Label],0))+INDEX(Data[FY2026 ESA],MATCH(A285,Data[Label],0))</f>
        <v>757.5</v>
      </c>
      <c r="C285" s="91">
        <f>INDEX(Data[FY2026 TSS],MATCH(A285,Data[Label],0))</f>
        <v>1208.6600000000001</v>
      </c>
      <c r="D285" s="91">
        <f>INDEX(Data[FY2026 PD],MATCH(A285,Data[Label],0))</f>
        <v>72.430000000000007</v>
      </c>
      <c r="E285" s="91">
        <f>INDEX(Data[FY2026 Early Intervention],MATCH(A285,Data[Label],0))</f>
        <v>79.64</v>
      </c>
      <c r="F285" s="91">
        <f>INDEX(Data[FY2026 TLC],MATCH(A285,Data[Label],0))</f>
        <v>385.29</v>
      </c>
      <c r="G285" s="182">
        <f t="shared" si="329"/>
        <v>915560</v>
      </c>
      <c r="H285" s="182">
        <f t="shared" si="330"/>
        <v>54866</v>
      </c>
      <c r="I285" s="182">
        <f t="shared" si="331"/>
        <v>60327</v>
      </c>
      <c r="J285" s="182">
        <f t="shared" si="332"/>
        <v>291857</v>
      </c>
      <c r="K285" s="182">
        <f>INDEX(Data[FY2026 TSS Budget Guarantee],MATCH(A285,Data[Label],0))+INDEX(Data[FY2026 PD Budget Guarantee],MATCH(A285,Data[Label],0))+INDEX(Data[FY2026 Early Intervention Budget Guarantee],MATCH(A285,Data[Label],0))+INDEX(Data[FY2026 TLC Budget Gurantee],MATCH(A285,Data[Label],0))</f>
        <v>19415</v>
      </c>
      <c r="L285" s="182">
        <f t="shared" si="333"/>
        <v>1342025</v>
      </c>
      <c r="M285" s="181">
        <f>INDEX(Data[FY2027 Budget Enrollment],MATCH(A285,Data[Label],0))+INDEX(Data[FY2027 ESAs],MATCH(A285,Data[Label],0))</f>
        <v>752.7</v>
      </c>
      <c r="N285" s="91">
        <f t="shared" si="334"/>
        <v>1222.3500000000001</v>
      </c>
      <c r="O285" s="91">
        <f t="shared" si="335"/>
        <v>73.98</v>
      </c>
      <c r="P285" s="91">
        <f t="shared" si="336"/>
        <v>81.33</v>
      </c>
      <c r="Q285" s="91">
        <f t="shared" si="337"/>
        <v>393</v>
      </c>
      <c r="R285" s="182">
        <f t="shared" si="345"/>
        <v>920063</v>
      </c>
      <c r="S285" s="182">
        <f t="shared" si="346"/>
        <v>55685</v>
      </c>
      <c r="T285" s="182">
        <f t="shared" si="347"/>
        <v>61217</v>
      </c>
      <c r="U285" s="182">
        <f t="shared" ref="U285" si="365">ROUND($M285*Q285,)</f>
        <v>295811</v>
      </c>
      <c r="V285" s="182">
        <f t="shared" si="339"/>
        <v>0</v>
      </c>
      <c r="W285" s="182">
        <f t="shared" si="340"/>
        <v>1332776</v>
      </c>
      <c r="X285" s="182">
        <f t="shared" si="341"/>
        <v>-9249</v>
      </c>
      <c r="Y285" s="183">
        <f t="shared" si="342"/>
        <v>-6.8918239228032262E-3</v>
      </c>
      <c r="Z285" s="184">
        <f t="shared" si="343"/>
        <v>-4.7999999999999545</v>
      </c>
      <c r="AA285" s="185">
        <f t="shared" si="344"/>
        <v>-6.3366336633662763E-3</v>
      </c>
    </row>
    <row r="286" spans="1:27" x14ac:dyDescent="0.55000000000000004">
      <c r="A286" s="230" t="s">
        <v>279</v>
      </c>
      <c r="B286" s="176">
        <f>INDEX(Data[FY2026 Budget Enrollment],MATCH(A286,Data[Label],0))+INDEX(Data[FY2026 ESA],MATCH(A286,Data[Label],0))</f>
        <v>591.70000000000005</v>
      </c>
      <c r="C286" s="218">
        <f>INDEX(Data[FY2026 TSS],MATCH(A286,Data[Label],0))</f>
        <v>994.1</v>
      </c>
      <c r="D286" s="218">
        <f>INDEX(Data[FY2026 PD],MATCH(A286,Data[Label],0))</f>
        <v>73.489999999999995</v>
      </c>
      <c r="E286" s="218">
        <f>INDEX(Data[FY2026 Early Intervention],MATCH(A286,Data[Label],0))</f>
        <v>77.38</v>
      </c>
      <c r="F286" s="218">
        <f>INDEX(Data[FY2026 TLC],MATCH(A286,Data[Label],0))</f>
        <v>385.29</v>
      </c>
      <c r="G286" s="177">
        <f t="shared" si="329"/>
        <v>588209</v>
      </c>
      <c r="H286" s="177">
        <f t="shared" si="330"/>
        <v>43484</v>
      </c>
      <c r="I286" s="177">
        <f t="shared" si="331"/>
        <v>45786</v>
      </c>
      <c r="J286" s="177">
        <f t="shared" si="332"/>
        <v>227976</v>
      </c>
      <c r="K286" s="177">
        <f>INDEX(Data[FY2026 TSS Budget Guarantee],MATCH(A286,Data[Label],0))+INDEX(Data[FY2026 PD Budget Guarantee],MATCH(A286,Data[Label],0))+INDEX(Data[FY2026 Early Intervention Budget Guarantee],MATCH(A286,Data[Label],0))+INDEX(Data[FY2026 TLC Budget Gurantee],MATCH(A286,Data[Label],0))</f>
        <v>0</v>
      </c>
      <c r="L286" s="177">
        <f t="shared" si="333"/>
        <v>905455</v>
      </c>
      <c r="M286" s="176">
        <f>INDEX(Data[FY2027 Budget Enrollment],MATCH(A286,Data[Label],0))+INDEX(Data[FY2027 ESAs],MATCH(A286,Data[Label],0))</f>
        <v>630.9</v>
      </c>
      <c r="N286" s="218">
        <f t="shared" si="334"/>
        <v>1007.7900000000001</v>
      </c>
      <c r="O286" s="218">
        <f t="shared" si="335"/>
        <v>75.039999999999992</v>
      </c>
      <c r="P286" s="218">
        <f t="shared" si="336"/>
        <v>79.069999999999993</v>
      </c>
      <c r="Q286" s="218">
        <f t="shared" si="337"/>
        <v>393</v>
      </c>
      <c r="R286" s="177">
        <f t="shared" si="345"/>
        <v>635815</v>
      </c>
      <c r="S286" s="177">
        <f t="shared" si="346"/>
        <v>47343</v>
      </c>
      <c r="T286" s="177">
        <f t="shared" si="347"/>
        <v>49885</v>
      </c>
      <c r="U286" s="177">
        <f t="shared" ref="U286" si="366">ROUND($M286*Q286,0)</f>
        <v>247944</v>
      </c>
      <c r="V286" s="177">
        <f t="shared" si="339"/>
        <v>0</v>
      </c>
      <c r="W286" s="177">
        <f t="shared" si="340"/>
        <v>980987</v>
      </c>
      <c r="X286" s="177">
        <f t="shared" si="341"/>
        <v>75532</v>
      </c>
      <c r="Y286" s="178">
        <f t="shared" si="342"/>
        <v>8.3418833625083524E-2</v>
      </c>
      <c r="Z286" s="179">
        <f t="shared" si="343"/>
        <v>39.199999999999932</v>
      </c>
      <c r="AA286" s="180">
        <f t="shared" si="344"/>
        <v>6.6249788744295976E-2</v>
      </c>
    </row>
    <row r="287" spans="1:27" x14ac:dyDescent="0.55000000000000004">
      <c r="A287" s="229" t="s">
        <v>280</v>
      </c>
      <c r="B287" s="181">
        <f>INDEX(Data[FY2026 Budget Enrollment],MATCH(A287,Data[Label],0))+INDEX(Data[FY2026 ESA],MATCH(A287,Data[Label],0))</f>
        <v>671.7</v>
      </c>
      <c r="C287" s="91">
        <f>INDEX(Data[FY2026 TSS],MATCH(A287,Data[Label],0))</f>
        <v>1053.68</v>
      </c>
      <c r="D287" s="91">
        <f>INDEX(Data[FY2026 PD],MATCH(A287,Data[Label],0))</f>
        <v>77.27</v>
      </c>
      <c r="E287" s="91">
        <f>INDEX(Data[FY2026 Early Intervention],MATCH(A287,Data[Label],0))</f>
        <v>76.75</v>
      </c>
      <c r="F287" s="91">
        <f>INDEX(Data[FY2026 TLC],MATCH(A287,Data[Label],0))</f>
        <v>385.29</v>
      </c>
      <c r="G287" s="182">
        <f t="shared" si="329"/>
        <v>707757</v>
      </c>
      <c r="H287" s="182">
        <f t="shared" si="330"/>
        <v>51902</v>
      </c>
      <c r="I287" s="182">
        <f t="shared" si="331"/>
        <v>51553</v>
      </c>
      <c r="J287" s="182">
        <f t="shared" si="332"/>
        <v>258799</v>
      </c>
      <c r="K287" s="182">
        <f>INDEX(Data[FY2026 TSS Budget Guarantee],MATCH(A287,Data[Label],0))+INDEX(Data[FY2026 PD Budget Guarantee],MATCH(A287,Data[Label],0))+INDEX(Data[FY2026 Early Intervention Budget Guarantee],MATCH(A287,Data[Label],0))+INDEX(Data[FY2026 TLC Budget Gurantee],MATCH(A287,Data[Label],0))</f>
        <v>0</v>
      </c>
      <c r="L287" s="182">
        <f t="shared" si="333"/>
        <v>1070011</v>
      </c>
      <c r="M287" s="181">
        <f>INDEX(Data[FY2027 Budget Enrollment],MATCH(A287,Data[Label],0))+INDEX(Data[FY2027 ESAs],MATCH(A287,Data[Label],0))</f>
        <v>670.2</v>
      </c>
      <c r="N287" s="91">
        <f t="shared" si="334"/>
        <v>1067.3700000000001</v>
      </c>
      <c r="O287" s="91">
        <f t="shared" si="335"/>
        <v>78.819999999999993</v>
      </c>
      <c r="P287" s="91">
        <f t="shared" si="336"/>
        <v>78.44</v>
      </c>
      <c r="Q287" s="91">
        <f t="shared" si="337"/>
        <v>393</v>
      </c>
      <c r="R287" s="182">
        <f t="shared" si="345"/>
        <v>715351</v>
      </c>
      <c r="S287" s="182">
        <f t="shared" si="346"/>
        <v>52825</v>
      </c>
      <c r="T287" s="182">
        <f t="shared" si="347"/>
        <v>52570</v>
      </c>
      <c r="U287" s="182">
        <f t="shared" ref="U287" si="367">ROUND($M287*Q287,)</f>
        <v>263389</v>
      </c>
      <c r="V287" s="182">
        <f t="shared" si="339"/>
        <v>0</v>
      </c>
      <c r="W287" s="182">
        <f t="shared" si="340"/>
        <v>1084135</v>
      </c>
      <c r="X287" s="182">
        <f t="shared" si="341"/>
        <v>14124</v>
      </c>
      <c r="Y287" s="183">
        <f t="shared" si="342"/>
        <v>1.3199864300460462E-2</v>
      </c>
      <c r="Z287" s="184">
        <f t="shared" si="343"/>
        <v>-1.5</v>
      </c>
      <c r="AA287" s="185">
        <f t="shared" si="344"/>
        <v>-2.2331397945511387E-3</v>
      </c>
    </row>
    <row r="288" spans="1:27" x14ac:dyDescent="0.55000000000000004">
      <c r="A288" s="230" t="s">
        <v>281</v>
      </c>
      <c r="B288" s="176">
        <f>INDEX(Data[FY2026 Budget Enrollment],MATCH(A288,Data[Label],0))+INDEX(Data[FY2026 ESA],MATCH(A288,Data[Label],0))</f>
        <v>242.8</v>
      </c>
      <c r="C288" s="218">
        <f>INDEX(Data[FY2026 TSS],MATCH(A288,Data[Label],0))</f>
        <v>1422.4</v>
      </c>
      <c r="D288" s="218">
        <f>INDEX(Data[FY2026 PD],MATCH(A288,Data[Label],0))</f>
        <v>73.27</v>
      </c>
      <c r="E288" s="218">
        <f>INDEX(Data[FY2026 Early Intervention],MATCH(A288,Data[Label],0))</f>
        <v>91.6</v>
      </c>
      <c r="F288" s="218">
        <f>INDEX(Data[FY2026 TLC],MATCH(A288,Data[Label],0))</f>
        <v>385.29</v>
      </c>
      <c r="G288" s="177">
        <f t="shared" si="329"/>
        <v>345359</v>
      </c>
      <c r="H288" s="177">
        <f t="shared" si="330"/>
        <v>17790</v>
      </c>
      <c r="I288" s="177">
        <f t="shared" si="331"/>
        <v>22240</v>
      </c>
      <c r="J288" s="177">
        <f t="shared" si="332"/>
        <v>93548</v>
      </c>
      <c r="K288" s="177">
        <f>INDEX(Data[FY2026 TSS Budget Guarantee],MATCH(A288,Data[Label],0))+INDEX(Data[FY2026 PD Budget Guarantee],MATCH(A288,Data[Label],0))+INDEX(Data[FY2026 Early Intervention Budget Guarantee],MATCH(A288,Data[Label],0))+INDEX(Data[FY2026 TLC Budget Gurantee],MATCH(A288,Data[Label],0))</f>
        <v>6026</v>
      </c>
      <c r="L288" s="177">
        <f t="shared" si="333"/>
        <v>484963</v>
      </c>
      <c r="M288" s="176">
        <f>INDEX(Data[FY2027 Budget Enrollment],MATCH(A288,Data[Label],0))+INDEX(Data[FY2027 ESAs],MATCH(A288,Data[Label],0))</f>
        <v>231.3</v>
      </c>
      <c r="N288" s="218">
        <f t="shared" si="334"/>
        <v>1436.0900000000001</v>
      </c>
      <c r="O288" s="218">
        <f t="shared" si="335"/>
        <v>74.819999999999993</v>
      </c>
      <c r="P288" s="218">
        <f t="shared" si="336"/>
        <v>93.289999999999992</v>
      </c>
      <c r="Q288" s="218">
        <f t="shared" si="337"/>
        <v>393</v>
      </c>
      <c r="R288" s="177">
        <f t="shared" si="345"/>
        <v>332168</v>
      </c>
      <c r="S288" s="177">
        <f t="shared" si="346"/>
        <v>17306</v>
      </c>
      <c r="T288" s="177">
        <f t="shared" si="347"/>
        <v>21578</v>
      </c>
      <c r="U288" s="177">
        <f t="shared" ref="U288" si="368">ROUND($M288*Q288,0)</f>
        <v>90901</v>
      </c>
      <c r="V288" s="177">
        <f t="shared" si="339"/>
        <v>16984</v>
      </c>
      <c r="W288" s="177">
        <f t="shared" si="340"/>
        <v>478937</v>
      </c>
      <c r="X288" s="177">
        <f t="shared" si="341"/>
        <v>-6026</v>
      </c>
      <c r="Y288" s="178">
        <f t="shared" si="342"/>
        <v>-1.2425690207294164E-2</v>
      </c>
      <c r="Z288" s="179">
        <f t="shared" si="343"/>
        <v>-11.5</v>
      </c>
      <c r="AA288" s="180">
        <f t="shared" si="344"/>
        <v>-4.7364085667215811E-2</v>
      </c>
    </row>
    <row r="289" spans="1:27" x14ac:dyDescent="0.55000000000000004">
      <c r="A289" s="229" t="s">
        <v>282</v>
      </c>
      <c r="B289" s="181">
        <f>INDEX(Data[FY2026 Budget Enrollment],MATCH(A289,Data[Label],0))+INDEX(Data[FY2026 ESA],MATCH(A289,Data[Label],0))</f>
        <v>387</v>
      </c>
      <c r="C289" s="91">
        <f>INDEX(Data[FY2026 TSS],MATCH(A289,Data[Label],0))</f>
        <v>1217.3699999999999</v>
      </c>
      <c r="D289" s="91">
        <f>INDEX(Data[FY2026 PD],MATCH(A289,Data[Label],0))</f>
        <v>77.069999999999993</v>
      </c>
      <c r="E289" s="91">
        <f>INDEX(Data[FY2026 Early Intervention],MATCH(A289,Data[Label],0))</f>
        <v>80.14</v>
      </c>
      <c r="F289" s="91">
        <f>INDEX(Data[FY2026 TLC],MATCH(A289,Data[Label],0))</f>
        <v>385.29</v>
      </c>
      <c r="G289" s="182">
        <f t="shared" si="329"/>
        <v>471122</v>
      </c>
      <c r="H289" s="182">
        <f t="shared" si="330"/>
        <v>29826</v>
      </c>
      <c r="I289" s="182">
        <f t="shared" si="331"/>
        <v>31014</v>
      </c>
      <c r="J289" s="182">
        <f t="shared" si="332"/>
        <v>149107</v>
      </c>
      <c r="K289" s="182">
        <f>INDEX(Data[FY2026 TSS Budget Guarantee],MATCH(A289,Data[Label],0))+INDEX(Data[FY2026 PD Budget Guarantee],MATCH(A289,Data[Label],0))+INDEX(Data[FY2026 Early Intervention Budget Guarantee],MATCH(A289,Data[Label],0))+INDEX(Data[FY2026 TLC Budget Gurantee],MATCH(A289,Data[Label],0))</f>
        <v>0</v>
      </c>
      <c r="L289" s="182">
        <f t="shared" si="333"/>
        <v>681069</v>
      </c>
      <c r="M289" s="181">
        <f>INDEX(Data[FY2027 Budget Enrollment],MATCH(A289,Data[Label],0))+INDEX(Data[FY2027 ESAs],MATCH(A289,Data[Label],0))</f>
        <v>376.3</v>
      </c>
      <c r="N289" s="91">
        <f t="shared" si="334"/>
        <v>1231.06</v>
      </c>
      <c r="O289" s="91">
        <f t="shared" si="335"/>
        <v>78.61999999999999</v>
      </c>
      <c r="P289" s="91">
        <f t="shared" si="336"/>
        <v>81.83</v>
      </c>
      <c r="Q289" s="91">
        <f t="shared" si="337"/>
        <v>393</v>
      </c>
      <c r="R289" s="182">
        <f t="shared" si="345"/>
        <v>463248</v>
      </c>
      <c r="S289" s="182">
        <f t="shared" si="346"/>
        <v>29585</v>
      </c>
      <c r="T289" s="182">
        <f t="shared" si="347"/>
        <v>30793</v>
      </c>
      <c r="U289" s="182">
        <f t="shared" ref="U289" si="369">ROUND($M289*Q289,)</f>
        <v>147886</v>
      </c>
      <c r="V289" s="182">
        <f t="shared" si="339"/>
        <v>9557</v>
      </c>
      <c r="W289" s="182">
        <f t="shared" si="340"/>
        <v>681069</v>
      </c>
      <c r="X289" s="182">
        <f t="shared" si="341"/>
        <v>0</v>
      </c>
      <c r="Y289" s="183">
        <f t="shared" si="342"/>
        <v>0</v>
      </c>
      <c r="Z289" s="184">
        <f t="shared" si="343"/>
        <v>-10.699999999999989</v>
      </c>
      <c r="AA289" s="185">
        <f t="shared" si="344"/>
        <v>-2.7648578811369479E-2</v>
      </c>
    </row>
    <row r="290" spans="1:27" x14ac:dyDescent="0.55000000000000004">
      <c r="A290" s="230" t="s">
        <v>283</v>
      </c>
      <c r="B290" s="176">
        <f>INDEX(Data[FY2026 Budget Enrollment],MATCH(A290,Data[Label],0))+INDEX(Data[FY2026 ESA],MATCH(A290,Data[Label],0))</f>
        <v>400.9</v>
      </c>
      <c r="C290" s="218">
        <f>INDEX(Data[FY2026 TSS],MATCH(A290,Data[Label],0))</f>
        <v>1118.3699999999999</v>
      </c>
      <c r="D290" s="218">
        <f>INDEX(Data[FY2026 PD],MATCH(A290,Data[Label],0))</f>
        <v>83.69</v>
      </c>
      <c r="E290" s="218">
        <f>INDEX(Data[FY2026 Early Intervention],MATCH(A290,Data[Label],0))</f>
        <v>64.48</v>
      </c>
      <c r="F290" s="218">
        <f>INDEX(Data[FY2026 TLC],MATCH(A290,Data[Label],0))</f>
        <v>385.29</v>
      </c>
      <c r="G290" s="177">
        <f t="shared" si="329"/>
        <v>448355</v>
      </c>
      <c r="H290" s="177">
        <f t="shared" si="330"/>
        <v>33551</v>
      </c>
      <c r="I290" s="177">
        <f t="shared" si="331"/>
        <v>25850</v>
      </c>
      <c r="J290" s="177">
        <f t="shared" si="332"/>
        <v>154463</v>
      </c>
      <c r="K290" s="177">
        <f>INDEX(Data[FY2026 TSS Budget Guarantee],MATCH(A290,Data[Label],0))+INDEX(Data[FY2026 PD Budget Guarantee],MATCH(A290,Data[Label],0))+INDEX(Data[FY2026 Early Intervention Budget Guarantee],MATCH(A290,Data[Label],0))+INDEX(Data[FY2026 TLC Budget Gurantee],MATCH(A290,Data[Label],0))</f>
        <v>0</v>
      </c>
      <c r="L290" s="177">
        <f t="shared" si="333"/>
        <v>662219</v>
      </c>
      <c r="M290" s="176">
        <f>INDEX(Data[FY2027 Budget Enrollment],MATCH(A290,Data[Label],0))+INDEX(Data[FY2027 ESAs],MATCH(A290,Data[Label],0))</f>
        <v>418.1</v>
      </c>
      <c r="N290" s="218">
        <f t="shared" si="334"/>
        <v>1132.06</v>
      </c>
      <c r="O290" s="218">
        <f t="shared" si="335"/>
        <v>85.24</v>
      </c>
      <c r="P290" s="218">
        <f t="shared" si="336"/>
        <v>66.17</v>
      </c>
      <c r="Q290" s="218">
        <f t="shared" si="337"/>
        <v>393</v>
      </c>
      <c r="R290" s="177">
        <f t="shared" si="345"/>
        <v>473314</v>
      </c>
      <c r="S290" s="177">
        <f t="shared" si="346"/>
        <v>35639</v>
      </c>
      <c r="T290" s="177">
        <f t="shared" si="347"/>
        <v>27666</v>
      </c>
      <c r="U290" s="177">
        <f t="shared" ref="U290" si="370">ROUND($M290*Q290,0)</f>
        <v>164313</v>
      </c>
      <c r="V290" s="177">
        <f t="shared" si="339"/>
        <v>0</v>
      </c>
      <c r="W290" s="177">
        <f t="shared" si="340"/>
        <v>700932</v>
      </c>
      <c r="X290" s="177">
        <f t="shared" si="341"/>
        <v>38713</v>
      </c>
      <c r="Y290" s="178">
        <f t="shared" si="342"/>
        <v>5.845951263856821E-2</v>
      </c>
      <c r="Z290" s="179">
        <f t="shared" si="343"/>
        <v>17.200000000000045</v>
      </c>
      <c r="AA290" s="180">
        <f t="shared" si="344"/>
        <v>4.2903467198802808E-2</v>
      </c>
    </row>
    <row r="291" spans="1:27" x14ac:dyDescent="0.55000000000000004">
      <c r="A291" s="229" t="s">
        <v>284</v>
      </c>
      <c r="B291" s="181">
        <f>INDEX(Data[FY2026 Budget Enrollment],MATCH(A291,Data[Label],0))+INDEX(Data[FY2026 ESA],MATCH(A291,Data[Label],0))</f>
        <v>301.8</v>
      </c>
      <c r="C291" s="91">
        <f>INDEX(Data[FY2026 TSS],MATCH(A291,Data[Label],0))</f>
        <v>1490.43</v>
      </c>
      <c r="D291" s="91">
        <f>INDEX(Data[FY2026 PD],MATCH(A291,Data[Label],0))</f>
        <v>78.17</v>
      </c>
      <c r="E291" s="91">
        <f>INDEX(Data[FY2026 Early Intervention],MATCH(A291,Data[Label],0))</f>
        <v>90.31</v>
      </c>
      <c r="F291" s="91">
        <f>INDEX(Data[FY2026 TLC],MATCH(A291,Data[Label],0))</f>
        <v>385.29</v>
      </c>
      <c r="G291" s="182">
        <f t="shared" si="329"/>
        <v>449812</v>
      </c>
      <c r="H291" s="182">
        <f t="shared" si="330"/>
        <v>23592</v>
      </c>
      <c r="I291" s="182">
        <f t="shared" si="331"/>
        <v>27256</v>
      </c>
      <c r="J291" s="182">
        <f t="shared" si="332"/>
        <v>116281</v>
      </c>
      <c r="K291" s="182">
        <f>INDEX(Data[FY2026 TSS Budget Guarantee],MATCH(A291,Data[Label],0))+INDEX(Data[FY2026 PD Budget Guarantee],MATCH(A291,Data[Label],0))+INDEX(Data[FY2026 Early Intervention Budget Guarantee],MATCH(A291,Data[Label],0))+INDEX(Data[FY2026 TLC Budget Gurantee],MATCH(A291,Data[Label],0))</f>
        <v>6752</v>
      </c>
      <c r="L291" s="182">
        <f t="shared" si="333"/>
        <v>623693</v>
      </c>
      <c r="M291" s="181">
        <f>INDEX(Data[FY2027 Budget Enrollment],MATCH(A291,Data[Label],0))+INDEX(Data[FY2027 ESAs],MATCH(A291,Data[Label],0))</f>
        <v>288.8</v>
      </c>
      <c r="N291" s="91">
        <f t="shared" si="334"/>
        <v>1504.1200000000001</v>
      </c>
      <c r="O291" s="91">
        <f t="shared" si="335"/>
        <v>79.72</v>
      </c>
      <c r="P291" s="91">
        <f t="shared" si="336"/>
        <v>92</v>
      </c>
      <c r="Q291" s="91">
        <f t="shared" si="337"/>
        <v>393</v>
      </c>
      <c r="R291" s="182">
        <f t="shared" si="345"/>
        <v>434390</v>
      </c>
      <c r="S291" s="182">
        <f t="shared" si="346"/>
        <v>23023</v>
      </c>
      <c r="T291" s="182">
        <f t="shared" si="347"/>
        <v>26570</v>
      </c>
      <c r="U291" s="182">
        <f t="shared" ref="U291" si="371">ROUND($M291*Q291,)</f>
        <v>113498</v>
      </c>
      <c r="V291" s="182">
        <f t="shared" si="339"/>
        <v>19460</v>
      </c>
      <c r="W291" s="182">
        <f t="shared" si="340"/>
        <v>616941</v>
      </c>
      <c r="X291" s="182">
        <f t="shared" si="341"/>
        <v>-6752</v>
      </c>
      <c r="Y291" s="183">
        <f t="shared" si="342"/>
        <v>-1.0825838994505309E-2</v>
      </c>
      <c r="Z291" s="184">
        <f t="shared" si="343"/>
        <v>-13</v>
      </c>
      <c r="AA291" s="185">
        <f t="shared" si="344"/>
        <v>-4.3074884029158385E-2</v>
      </c>
    </row>
    <row r="292" spans="1:27" x14ac:dyDescent="0.55000000000000004">
      <c r="A292" s="230" t="s">
        <v>285</v>
      </c>
      <c r="B292" s="176">
        <f>INDEX(Data[FY2026 Budget Enrollment],MATCH(A292,Data[Label],0))+INDEX(Data[FY2026 ESA],MATCH(A292,Data[Label],0))</f>
        <v>176</v>
      </c>
      <c r="C292" s="218">
        <f>INDEX(Data[FY2026 TSS],MATCH(A292,Data[Label],0))</f>
        <v>1294.4000000000001</v>
      </c>
      <c r="D292" s="218">
        <f>INDEX(Data[FY2026 PD],MATCH(A292,Data[Label],0))</f>
        <v>76.22</v>
      </c>
      <c r="E292" s="218">
        <f>INDEX(Data[FY2026 Early Intervention],MATCH(A292,Data[Label],0))</f>
        <v>76.52</v>
      </c>
      <c r="F292" s="218">
        <f>INDEX(Data[FY2026 TLC],MATCH(A292,Data[Label],0))</f>
        <v>385.29</v>
      </c>
      <c r="G292" s="177">
        <f t="shared" si="329"/>
        <v>227814</v>
      </c>
      <c r="H292" s="177">
        <f t="shared" si="330"/>
        <v>13415</v>
      </c>
      <c r="I292" s="177">
        <f t="shared" si="331"/>
        <v>13468</v>
      </c>
      <c r="J292" s="177">
        <f t="shared" si="332"/>
        <v>67811</v>
      </c>
      <c r="K292" s="177">
        <f>INDEX(Data[FY2026 TSS Budget Guarantee],MATCH(A292,Data[Label],0))+INDEX(Data[FY2026 PD Budget Guarantee],MATCH(A292,Data[Label],0))+INDEX(Data[FY2026 Early Intervention Budget Guarantee],MATCH(A292,Data[Label],0))+INDEX(Data[FY2026 TLC Budget Gurantee],MATCH(A292,Data[Label],0))</f>
        <v>0</v>
      </c>
      <c r="L292" s="177">
        <f t="shared" si="333"/>
        <v>322508</v>
      </c>
      <c r="M292" s="176">
        <f>INDEX(Data[FY2027 Budget Enrollment],MATCH(A292,Data[Label],0))+INDEX(Data[FY2027 ESAs],MATCH(A292,Data[Label],0))</f>
        <v>170</v>
      </c>
      <c r="N292" s="218">
        <f t="shared" si="334"/>
        <v>1308.0900000000001</v>
      </c>
      <c r="O292" s="218">
        <f t="shared" si="335"/>
        <v>77.77</v>
      </c>
      <c r="P292" s="218">
        <f t="shared" si="336"/>
        <v>78.209999999999994</v>
      </c>
      <c r="Q292" s="218">
        <f t="shared" si="337"/>
        <v>393</v>
      </c>
      <c r="R292" s="177">
        <f t="shared" si="345"/>
        <v>222375</v>
      </c>
      <c r="S292" s="177">
        <f t="shared" si="346"/>
        <v>13221</v>
      </c>
      <c r="T292" s="177">
        <f t="shared" si="347"/>
        <v>13296</v>
      </c>
      <c r="U292" s="177">
        <f t="shared" ref="U292" si="372">ROUND($M292*Q292,0)</f>
        <v>66810</v>
      </c>
      <c r="V292" s="177">
        <f t="shared" si="339"/>
        <v>6806</v>
      </c>
      <c r="W292" s="177">
        <f t="shared" si="340"/>
        <v>322508</v>
      </c>
      <c r="X292" s="177">
        <f t="shared" si="341"/>
        <v>0</v>
      </c>
      <c r="Y292" s="178">
        <f t="shared" si="342"/>
        <v>0</v>
      </c>
      <c r="Z292" s="179">
        <f t="shared" si="343"/>
        <v>-6</v>
      </c>
      <c r="AA292" s="180">
        <f t="shared" si="344"/>
        <v>-3.4090909090909088E-2</v>
      </c>
    </row>
    <row r="293" spans="1:27" x14ac:dyDescent="0.55000000000000004">
      <c r="A293" s="229" t="s">
        <v>286</v>
      </c>
      <c r="B293" s="181">
        <f>INDEX(Data[FY2026 Budget Enrollment],MATCH(A293,Data[Label],0))+INDEX(Data[FY2026 ESA],MATCH(A293,Data[Label],0))</f>
        <v>759.2</v>
      </c>
      <c r="C293" s="91">
        <f>INDEX(Data[FY2026 TSS],MATCH(A293,Data[Label],0))</f>
        <v>950.42</v>
      </c>
      <c r="D293" s="91">
        <f>INDEX(Data[FY2026 PD],MATCH(A293,Data[Label],0))</f>
        <v>68.77</v>
      </c>
      <c r="E293" s="91">
        <f>INDEX(Data[FY2026 Early Intervention],MATCH(A293,Data[Label],0))</f>
        <v>75.75</v>
      </c>
      <c r="F293" s="91">
        <f>INDEX(Data[FY2026 TLC],MATCH(A293,Data[Label],0))</f>
        <v>385.29</v>
      </c>
      <c r="G293" s="182">
        <f t="shared" si="329"/>
        <v>721559</v>
      </c>
      <c r="H293" s="182">
        <f t="shared" si="330"/>
        <v>52210</v>
      </c>
      <c r="I293" s="182">
        <f t="shared" si="331"/>
        <v>57509</v>
      </c>
      <c r="J293" s="182">
        <f t="shared" si="332"/>
        <v>292512</v>
      </c>
      <c r="K293" s="182">
        <f>INDEX(Data[FY2026 TSS Budget Guarantee],MATCH(A293,Data[Label],0))+INDEX(Data[FY2026 PD Budget Guarantee],MATCH(A293,Data[Label],0))+INDEX(Data[FY2026 Early Intervention Budget Guarantee],MATCH(A293,Data[Label],0))+INDEX(Data[FY2026 TLC Budget Gurantee],MATCH(A293,Data[Label],0))</f>
        <v>0</v>
      </c>
      <c r="L293" s="182">
        <f t="shared" si="333"/>
        <v>1123790</v>
      </c>
      <c r="M293" s="181">
        <f>INDEX(Data[FY2027 Budget Enrollment],MATCH(A293,Data[Label],0))+INDEX(Data[FY2027 ESAs],MATCH(A293,Data[Label],0))</f>
        <v>746.5</v>
      </c>
      <c r="N293" s="91">
        <f t="shared" si="334"/>
        <v>964.11</v>
      </c>
      <c r="O293" s="91">
        <f t="shared" si="335"/>
        <v>70.319999999999993</v>
      </c>
      <c r="P293" s="91">
        <f t="shared" si="336"/>
        <v>77.44</v>
      </c>
      <c r="Q293" s="91">
        <f t="shared" si="337"/>
        <v>393</v>
      </c>
      <c r="R293" s="182">
        <f t="shared" si="345"/>
        <v>719708</v>
      </c>
      <c r="S293" s="182">
        <f t="shared" si="346"/>
        <v>52494</v>
      </c>
      <c r="T293" s="182">
        <f t="shared" si="347"/>
        <v>57809</v>
      </c>
      <c r="U293" s="182">
        <f t="shared" ref="U293" si="373">ROUND($M293*Q293,)</f>
        <v>293375</v>
      </c>
      <c r="V293" s="182">
        <f t="shared" si="339"/>
        <v>1851</v>
      </c>
      <c r="W293" s="182">
        <f t="shared" si="340"/>
        <v>1125237</v>
      </c>
      <c r="X293" s="182">
        <f t="shared" si="341"/>
        <v>1447</v>
      </c>
      <c r="Y293" s="183">
        <f t="shared" si="342"/>
        <v>1.2876071152083575E-3</v>
      </c>
      <c r="Z293" s="184">
        <f t="shared" si="343"/>
        <v>-12.700000000000045</v>
      </c>
      <c r="AA293" s="185">
        <f t="shared" si="344"/>
        <v>-1.672813487881987E-2</v>
      </c>
    </row>
    <row r="294" spans="1:27" x14ac:dyDescent="0.55000000000000004">
      <c r="A294" s="230" t="s">
        <v>287</v>
      </c>
      <c r="B294" s="176">
        <f>INDEX(Data[FY2026 Budget Enrollment],MATCH(A294,Data[Label],0))+INDEX(Data[FY2026 ESA],MATCH(A294,Data[Label],0))</f>
        <v>926.9</v>
      </c>
      <c r="C294" s="218">
        <f>INDEX(Data[FY2026 TSS],MATCH(A294,Data[Label],0))</f>
        <v>1035.68</v>
      </c>
      <c r="D294" s="218">
        <f>INDEX(Data[FY2026 PD],MATCH(A294,Data[Label],0))</f>
        <v>64.14</v>
      </c>
      <c r="E294" s="218">
        <f>INDEX(Data[FY2026 Early Intervention],MATCH(A294,Data[Label],0))</f>
        <v>76.19</v>
      </c>
      <c r="F294" s="218">
        <f>INDEX(Data[FY2026 TLC],MATCH(A294,Data[Label],0))</f>
        <v>385.29</v>
      </c>
      <c r="G294" s="177">
        <f t="shared" si="329"/>
        <v>959972</v>
      </c>
      <c r="H294" s="177">
        <f t="shared" si="330"/>
        <v>59451</v>
      </c>
      <c r="I294" s="177">
        <f t="shared" si="331"/>
        <v>70621</v>
      </c>
      <c r="J294" s="177">
        <f t="shared" si="332"/>
        <v>357125</v>
      </c>
      <c r="K294" s="177">
        <f>INDEX(Data[FY2026 TSS Budget Guarantee],MATCH(A294,Data[Label],0))+INDEX(Data[FY2026 PD Budget Guarantee],MATCH(A294,Data[Label],0))+INDEX(Data[FY2026 Early Intervention Budget Guarantee],MATCH(A294,Data[Label],0))+INDEX(Data[FY2026 TLC Budget Gurantee],MATCH(A294,Data[Label],0))</f>
        <v>5964</v>
      </c>
      <c r="L294" s="177">
        <f t="shared" si="333"/>
        <v>1453133</v>
      </c>
      <c r="M294" s="176">
        <f>INDEX(Data[FY2027 Budget Enrollment],MATCH(A294,Data[Label],0))+INDEX(Data[FY2027 ESAs],MATCH(A294,Data[Label],0))</f>
        <v>948</v>
      </c>
      <c r="N294" s="218">
        <f t="shared" si="334"/>
        <v>1049.3700000000001</v>
      </c>
      <c r="O294" s="218">
        <f t="shared" si="335"/>
        <v>65.69</v>
      </c>
      <c r="P294" s="218">
        <f t="shared" si="336"/>
        <v>77.88</v>
      </c>
      <c r="Q294" s="218">
        <f t="shared" si="337"/>
        <v>393</v>
      </c>
      <c r="R294" s="177">
        <f t="shared" si="345"/>
        <v>994803</v>
      </c>
      <c r="S294" s="177">
        <f t="shared" si="346"/>
        <v>62274</v>
      </c>
      <c r="T294" s="177">
        <f t="shared" si="347"/>
        <v>73830</v>
      </c>
      <c r="U294" s="177">
        <f t="shared" ref="U294" si="374">ROUND($M294*Q294,0)</f>
        <v>372564</v>
      </c>
      <c r="V294" s="177">
        <f t="shared" si="339"/>
        <v>0</v>
      </c>
      <c r="W294" s="177">
        <f t="shared" si="340"/>
        <v>1503471</v>
      </c>
      <c r="X294" s="177">
        <f t="shared" si="341"/>
        <v>50338</v>
      </c>
      <c r="Y294" s="178">
        <f t="shared" si="342"/>
        <v>3.4641013589258522E-2</v>
      </c>
      <c r="Z294" s="179">
        <f t="shared" si="343"/>
        <v>21.100000000000023</v>
      </c>
      <c r="AA294" s="180">
        <f t="shared" si="344"/>
        <v>2.2764052217067669E-2</v>
      </c>
    </row>
    <row r="295" spans="1:27" x14ac:dyDescent="0.55000000000000004">
      <c r="A295" s="229" t="s">
        <v>288</v>
      </c>
      <c r="B295" s="181">
        <f>INDEX(Data[FY2026 Budget Enrollment],MATCH(A295,Data[Label],0))+INDEX(Data[FY2026 ESA],MATCH(A295,Data[Label],0))</f>
        <v>370.7</v>
      </c>
      <c r="C295" s="91">
        <f>INDEX(Data[FY2026 TSS],MATCH(A295,Data[Label],0))</f>
        <v>1465.63</v>
      </c>
      <c r="D295" s="91">
        <f>INDEX(Data[FY2026 PD],MATCH(A295,Data[Label],0))</f>
        <v>55</v>
      </c>
      <c r="E295" s="91">
        <f>INDEX(Data[FY2026 Early Intervention],MATCH(A295,Data[Label],0))</f>
        <v>80.95</v>
      </c>
      <c r="F295" s="91">
        <f>INDEX(Data[FY2026 TLC],MATCH(A295,Data[Label],0))</f>
        <v>385.29</v>
      </c>
      <c r="G295" s="182">
        <f t="shared" si="329"/>
        <v>543309</v>
      </c>
      <c r="H295" s="182">
        <f t="shared" si="330"/>
        <v>20389</v>
      </c>
      <c r="I295" s="182">
        <f t="shared" si="331"/>
        <v>30008</v>
      </c>
      <c r="J295" s="182">
        <f t="shared" si="332"/>
        <v>142827</v>
      </c>
      <c r="K295" s="182">
        <f>INDEX(Data[FY2026 TSS Budget Guarantee],MATCH(A295,Data[Label],0))+INDEX(Data[FY2026 PD Budget Guarantee],MATCH(A295,Data[Label],0))+INDEX(Data[FY2026 Early Intervention Budget Guarantee],MATCH(A295,Data[Label],0))+INDEX(Data[FY2026 TLC Budget Gurantee],MATCH(A295,Data[Label],0))</f>
        <v>0</v>
      </c>
      <c r="L295" s="182">
        <f t="shared" si="333"/>
        <v>736533</v>
      </c>
      <c r="M295" s="181">
        <f>INDEX(Data[FY2027 Budget Enrollment],MATCH(A295,Data[Label],0))+INDEX(Data[FY2027 ESAs],MATCH(A295,Data[Label],0))</f>
        <v>319.2</v>
      </c>
      <c r="N295" s="91">
        <f t="shared" si="334"/>
        <v>1479.3200000000002</v>
      </c>
      <c r="O295" s="91">
        <f t="shared" si="335"/>
        <v>56.55</v>
      </c>
      <c r="P295" s="91">
        <f t="shared" si="336"/>
        <v>82.64</v>
      </c>
      <c r="Q295" s="91">
        <f t="shared" si="337"/>
        <v>393</v>
      </c>
      <c r="R295" s="182">
        <f t="shared" si="345"/>
        <v>472199</v>
      </c>
      <c r="S295" s="182">
        <f t="shared" si="346"/>
        <v>18051</v>
      </c>
      <c r="T295" s="182">
        <f t="shared" si="347"/>
        <v>26379</v>
      </c>
      <c r="U295" s="182">
        <f t="shared" ref="U295" si="375">ROUND($M295*Q295,)</f>
        <v>125446</v>
      </c>
      <c r="V295" s="182">
        <f t="shared" si="339"/>
        <v>94458</v>
      </c>
      <c r="W295" s="182">
        <f t="shared" si="340"/>
        <v>736533</v>
      </c>
      <c r="X295" s="182">
        <f t="shared" si="341"/>
        <v>0</v>
      </c>
      <c r="Y295" s="183">
        <f t="shared" si="342"/>
        <v>0</v>
      </c>
      <c r="Z295" s="184">
        <f t="shared" si="343"/>
        <v>-51.5</v>
      </c>
      <c r="AA295" s="185">
        <f t="shared" si="344"/>
        <v>-0.13892635554356622</v>
      </c>
    </row>
    <row r="296" spans="1:27" x14ac:dyDescent="0.55000000000000004">
      <c r="A296" s="230" t="s">
        <v>289</v>
      </c>
      <c r="B296" s="176">
        <f>INDEX(Data[FY2026 Budget Enrollment],MATCH(A296,Data[Label],0))+INDEX(Data[FY2026 ESA],MATCH(A296,Data[Label],0))</f>
        <v>3718.3</v>
      </c>
      <c r="C296" s="218">
        <f>INDEX(Data[FY2026 TSS],MATCH(A296,Data[Label],0))</f>
        <v>753.19</v>
      </c>
      <c r="D296" s="218">
        <f>INDEX(Data[FY2026 PD],MATCH(A296,Data[Label],0))</f>
        <v>81.16</v>
      </c>
      <c r="E296" s="218">
        <f>INDEX(Data[FY2026 Early Intervention],MATCH(A296,Data[Label],0))</f>
        <v>79.55</v>
      </c>
      <c r="F296" s="218">
        <f>INDEX(Data[FY2026 TLC],MATCH(A296,Data[Label],0))</f>
        <v>385.29</v>
      </c>
      <c r="G296" s="177">
        <f t="shared" si="329"/>
        <v>2800586</v>
      </c>
      <c r="H296" s="177">
        <f t="shared" si="330"/>
        <v>301777</v>
      </c>
      <c r="I296" s="177">
        <f t="shared" si="331"/>
        <v>295791</v>
      </c>
      <c r="J296" s="177">
        <f t="shared" si="332"/>
        <v>1432624</v>
      </c>
      <c r="K296" s="177">
        <f>INDEX(Data[FY2026 TSS Budget Guarantee],MATCH(A296,Data[Label],0))+INDEX(Data[FY2026 PD Budget Guarantee],MATCH(A296,Data[Label],0))+INDEX(Data[FY2026 Early Intervention Budget Guarantee],MATCH(A296,Data[Label],0))+INDEX(Data[FY2026 TLC Budget Gurantee],MATCH(A296,Data[Label],0))</f>
        <v>0</v>
      </c>
      <c r="L296" s="177">
        <f t="shared" si="333"/>
        <v>4830778</v>
      </c>
      <c r="M296" s="176">
        <f>INDEX(Data[FY2027 Budget Enrollment],MATCH(A296,Data[Label],0))+INDEX(Data[FY2027 ESAs],MATCH(A296,Data[Label],0))</f>
        <v>3815.6</v>
      </c>
      <c r="N296" s="218">
        <f t="shared" si="334"/>
        <v>766.88000000000011</v>
      </c>
      <c r="O296" s="218">
        <f t="shared" si="335"/>
        <v>82.71</v>
      </c>
      <c r="P296" s="218">
        <f t="shared" si="336"/>
        <v>81.239999999999995</v>
      </c>
      <c r="Q296" s="218">
        <f t="shared" si="337"/>
        <v>393</v>
      </c>
      <c r="R296" s="177">
        <f t="shared" si="345"/>
        <v>2926107</v>
      </c>
      <c r="S296" s="177">
        <f t="shared" si="346"/>
        <v>315588</v>
      </c>
      <c r="T296" s="177">
        <f t="shared" si="347"/>
        <v>309979</v>
      </c>
      <c r="U296" s="177">
        <f t="shared" ref="U296" si="376">ROUND($M296*Q296,0)</f>
        <v>1499531</v>
      </c>
      <c r="V296" s="177">
        <f t="shared" si="339"/>
        <v>0</v>
      </c>
      <c r="W296" s="177">
        <f t="shared" si="340"/>
        <v>5051205</v>
      </c>
      <c r="X296" s="177">
        <f t="shared" si="341"/>
        <v>220427</v>
      </c>
      <c r="Y296" s="178">
        <f t="shared" si="342"/>
        <v>4.5629710162628047E-2</v>
      </c>
      <c r="Z296" s="179">
        <f t="shared" si="343"/>
        <v>97.299999999999727</v>
      </c>
      <c r="AA296" s="180">
        <f t="shared" si="344"/>
        <v>2.6167872414813147E-2</v>
      </c>
    </row>
    <row r="297" spans="1:27" x14ac:dyDescent="0.55000000000000004">
      <c r="A297" s="229" t="s">
        <v>290</v>
      </c>
      <c r="B297" s="181">
        <f>INDEX(Data[FY2026 Budget Enrollment],MATCH(A297,Data[Label],0))+INDEX(Data[FY2026 ESA],MATCH(A297,Data[Label],0))</f>
        <v>960.3</v>
      </c>
      <c r="C297" s="91">
        <f>INDEX(Data[FY2026 TSS],MATCH(A297,Data[Label],0))</f>
        <v>1010.4</v>
      </c>
      <c r="D297" s="91">
        <f>INDEX(Data[FY2026 PD],MATCH(A297,Data[Label],0))</f>
        <v>68.97</v>
      </c>
      <c r="E297" s="91">
        <f>INDEX(Data[FY2026 Early Intervention],MATCH(A297,Data[Label],0))</f>
        <v>82.83</v>
      </c>
      <c r="F297" s="91">
        <f>INDEX(Data[FY2026 TLC],MATCH(A297,Data[Label],0))</f>
        <v>385.29</v>
      </c>
      <c r="G297" s="182">
        <f t="shared" si="329"/>
        <v>970287</v>
      </c>
      <c r="H297" s="182">
        <f t="shared" si="330"/>
        <v>66232</v>
      </c>
      <c r="I297" s="182">
        <f t="shared" si="331"/>
        <v>79542</v>
      </c>
      <c r="J297" s="182">
        <f t="shared" si="332"/>
        <v>369994</v>
      </c>
      <c r="K297" s="182">
        <f>INDEX(Data[FY2026 TSS Budget Guarantee],MATCH(A297,Data[Label],0))+INDEX(Data[FY2026 PD Budget Guarantee],MATCH(A297,Data[Label],0))+INDEX(Data[FY2026 Early Intervention Budget Guarantee],MATCH(A297,Data[Label],0))+INDEX(Data[FY2026 TLC Budget Gurantee],MATCH(A297,Data[Label],0))</f>
        <v>0</v>
      </c>
      <c r="L297" s="182">
        <f t="shared" si="333"/>
        <v>1486055</v>
      </c>
      <c r="M297" s="181">
        <f>INDEX(Data[FY2027 Budget Enrollment],MATCH(A297,Data[Label],0))+INDEX(Data[FY2027 ESAs],MATCH(A297,Data[Label],0))</f>
        <v>950.3</v>
      </c>
      <c r="N297" s="91">
        <f t="shared" si="334"/>
        <v>1024.0899999999999</v>
      </c>
      <c r="O297" s="91">
        <f t="shared" si="335"/>
        <v>70.52</v>
      </c>
      <c r="P297" s="91">
        <f t="shared" si="336"/>
        <v>84.52</v>
      </c>
      <c r="Q297" s="91">
        <f t="shared" si="337"/>
        <v>393</v>
      </c>
      <c r="R297" s="182">
        <f t="shared" si="345"/>
        <v>973193</v>
      </c>
      <c r="S297" s="182">
        <f t="shared" si="346"/>
        <v>67015</v>
      </c>
      <c r="T297" s="182">
        <f t="shared" si="347"/>
        <v>80319</v>
      </c>
      <c r="U297" s="182">
        <f t="shared" ref="U297" si="377">ROUND($M297*Q297,)</f>
        <v>373468</v>
      </c>
      <c r="V297" s="182">
        <f t="shared" si="339"/>
        <v>0</v>
      </c>
      <c r="W297" s="182">
        <f t="shared" si="340"/>
        <v>1493995</v>
      </c>
      <c r="X297" s="182">
        <f t="shared" si="341"/>
        <v>7940</v>
      </c>
      <c r="Y297" s="183">
        <f t="shared" si="342"/>
        <v>5.3430054742253817E-3</v>
      </c>
      <c r="Z297" s="184">
        <f t="shared" si="343"/>
        <v>-10</v>
      </c>
      <c r="AA297" s="185">
        <f t="shared" si="344"/>
        <v>-1.0413412475268146E-2</v>
      </c>
    </row>
    <row r="298" spans="1:27" x14ac:dyDescent="0.55000000000000004">
      <c r="A298" s="230" t="s">
        <v>291</v>
      </c>
      <c r="B298" s="176">
        <f>INDEX(Data[FY2026 Budget Enrollment],MATCH(A298,Data[Label],0))+INDEX(Data[FY2026 ESA],MATCH(A298,Data[Label],0))</f>
        <v>968.5</v>
      </c>
      <c r="C298" s="218">
        <f>INDEX(Data[FY2026 TSS],MATCH(A298,Data[Label],0))</f>
        <v>825.97</v>
      </c>
      <c r="D298" s="218">
        <f>INDEX(Data[FY2026 PD],MATCH(A298,Data[Label],0))</f>
        <v>73.55</v>
      </c>
      <c r="E298" s="218">
        <f>INDEX(Data[FY2026 Early Intervention],MATCH(A298,Data[Label],0))</f>
        <v>77.77</v>
      </c>
      <c r="F298" s="218">
        <f>INDEX(Data[FY2026 TLC],MATCH(A298,Data[Label],0))</f>
        <v>385.29</v>
      </c>
      <c r="G298" s="177">
        <f t="shared" si="329"/>
        <v>799952</v>
      </c>
      <c r="H298" s="177">
        <f t="shared" si="330"/>
        <v>71233</v>
      </c>
      <c r="I298" s="177">
        <f t="shared" si="331"/>
        <v>75320</v>
      </c>
      <c r="J298" s="177">
        <f t="shared" si="332"/>
        <v>373153</v>
      </c>
      <c r="K298" s="177">
        <f>INDEX(Data[FY2026 TSS Budget Guarantee],MATCH(A298,Data[Label],0))+INDEX(Data[FY2026 PD Budget Guarantee],MATCH(A298,Data[Label],0))+INDEX(Data[FY2026 Early Intervention Budget Guarantee],MATCH(A298,Data[Label],0))+INDEX(Data[FY2026 TLC Budget Gurantee],MATCH(A298,Data[Label],0))</f>
        <v>0</v>
      </c>
      <c r="L298" s="177">
        <f t="shared" si="333"/>
        <v>1319658</v>
      </c>
      <c r="M298" s="176">
        <f>INDEX(Data[FY2027 Budget Enrollment],MATCH(A298,Data[Label],0))+INDEX(Data[FY2027 ESAs],MATCH(A298,Data[Label],0))</f>
        <v>1037.8</v>
      </c>
      <c r="N298" s="218">
        <f t="shared" si="334"/>
        <v>839.66000000000008</v>
      </c>
      <c r="O298" s="218">
        <f t="shared" si="335"/>
        <v>75.099999999999994</v>
      </c>
      <c r="P298" s="218">
        <f t="shared" si="336"/>
        <v>79.459999999999994</v>
      </c>
      <c r="Q298" s="218">
        <f t="shared" si="337"/>
        <v>393</v>
      </c>
      <c r="R298" s="177">
        <f t="shared" si="345"/>
        <v>871399</v>
      </c>
      <c r="S298" s="177">
        <f t="shared" si="346"/>
        <v>77939</v>
      </c>
      <c r="T298" s="177">
        <f t="shared" si="347"/>
        <v>82464</v>
      </c>
      <c r="U298" s="177">
        <f t="shared" ref="U298" si="378">ROUND($M298*Q298,0)</f>
        <v>407855</v>
      </c>
      <c r="V298" s="177">
        <f t="shared" si="339"/>
        <v>0</v>
      </c>
      <c r="W298" s="177">
        <f t="shared" si="340"/>
        <v>1439657</v>
      </c>
      <c r="X298" s="177">
        <f t="shared" si="341"/>
        <v>119999</v>
      </c>
      <c r="Y298" s="178">
        <f t="shared" si="342"/>
        <v>9.0931892960145741E-2</v>
      </c>
      <c r="Z298" s="179">
        <f t="shared" si="343"/>
        <v>69.299999999999955</v>
      </c>
      <c r="AA298" s="180">
        <f t="shared" si="344"/>
        <v>7.1553949406298348E-2</v>
      </c>
    </row>
    <row r="299" spans="1:27" x14ac:dyDescent="0.55000000000000004">
      <c r="A299" s="229" t="s">
        <v>292</v>
      </c>
      <c r="B299" s="181">
        <f>INDEX(Data[FY2026 Budget Enrollment],MATCH(A299,Data[Label],0))+INDEX(Data[FY2026 ESA],MATCH(A299,Data[Label],0))</f>
        <v>272</v>
      </c>
      <c r="C299" s="91">
        <f>INDEX(Data[FY2026 TSS],MATCH(A299,Data[Label],0))</f>
        <v>1303.55</v>
      </c>
      <c r="D299" s="91">
        <f>INDEX(Data[FY2026 PD],MATCH(A299,Data[Label],0))</f>
        <v>75.680000000000007</v>
      </c>
      <c r="E299" s="91">
        <f>INDEX(Data[FY2026 Early Intervention],MATCH(A299,Data[Label],0))</f>
        <v>85.6</v>
      </c>
      <c r="F299" s="91">
        <f>INDEX(Data[FY2026 TLC],MATCH(A299,Data[Label],0))</f>
        <v>385.29</v>
      </c>
      <c r="G299" s="182">
        <f t="shared" si="329"/>
        <v>354566</v>
      </c>
      <c r="H299" s="182">
        <f t="shared" si="330"/>
        <v>20585</v>
      </c>
      <c r="I299" s="182">
        <f t="shared" si="331"/>
        <v>23283</v>
      </c>
      <c r="J299" s="182">
        <f t="shared" si="332"/>
        <v>104799</v>
      </c>
      <c r="K299" s="182">
        <f>INDEX(Data[FY2026 TSS Budget Guarantee],MATCH(A299,Data[Label],0))+INDEX(Data[FY2026 PD Budget Guarantee],MATCH(A299,Data[Label],0))+INDEX(Data[FY2026 Early Intervention Budget Guarantee],MATCH(A299,Data[Label],0))+INDEX(Data[FY2026 TLC Budget Gurantee],MATCH(A299,Data[Label],0))</f>
        <v>2440</v>
      </c>
      <c r="L299" s="182">
        <f t="shared" si="333"/>
        <v>505673</v>
      </c>
      <c r="M299" s="181">
        <f>INDEX(Data[FY2027 Budget Enrollment],MATCH(A299,Data[Label],0))+INDEX(Data[FY2027 ESAs],MATCH(A299,Data[Label],0))</f>
        <v>278</v>
      </c>
      <c r="N299" s="91">
        <f t="shared" si="334"/>
        <v>1317.24</v>
      </c>
      <c r="O299" s="91">
        <f t="shared" si="335"/>
        <v>77.23</v>
      </c>
      <c r="P299" s="91">
        <f t="shared" si="336"/>
        <v>87.289999999999992</v>
      </c>
      <c r="Q299" s="91">
        <f t="shared" si="337"/>
        <v>393</v>
      </c>
      <c r="R299" s="182">
        <f t="shared" si="345"/>
        <v>366193</v>
      </c>
      <c r="S299" s="182">
        <f t="shared" si="346"/>
        <v>21470</v>
      </c>
      <c r="T299" s="182">
        <f t="shared" si="347"/>
        <v>24267</v>
      </c>
      <c r="U299" s="182">
        <f t="shared" ref="U299" si="379">ROUND($M299*Q299,)</f>
        <v>109254</v>
      </c>
      <c r="V299" s="182">
        <f t="shared" si="339"/>
        <v>0</v>
      </c>
      <c r="W299" s="182">
        <f t="shared" si="340"/>
        <v>521184</v>
      </c>
      <c r="X299" s="182">
        <f t="shared" si="341"/>
        <v>15511</v>
      </c>
      <c r="Y299" s="183">
        <f t="shared" si="342"/>
        <v>3.0673973101193856E-2</v>
      </c>
      <c r="Z299" s="184">
        <f t="shared" si="343"/>
        <v>6</v>
      </c>
      <c r="AA299" s="185">
        <f t="shared" si="344"/>
        <v>2.2058823529411766E-2</v>
      </c>
    </row>
    <row r="300" spans="1:27" x14ac:dyDescent="0.55000000000000004">
      <c r="A300" s="230" t="s">
        <v>293</v>
      </c>
      <c r="B300" s="176">
        <f>INDEX(Data[FY2026 Budget Enrollment],MATCH(A300,Data[Label],0))+INDEX(Data[FY2026 ESA],MATCH(A300,Data[Label],0))</f>
        <v>1631</v>
      </c>
      <c r="C300" s="218">
        <f>INDEX(Data[FY2026 TSS],MATCH(A300,Data[Label],0))</f>
        <v>882.55</v>
      </c>
      <c r="D300" s="218">
        <f>INDEX(Data[FY2026 PD],MATCH(A300,Data[Label],0))</f>
        <v>79.53</v>
      </c>
      <c r="E300" s="218">
        <f>INDEX(Data[FY2026 Early Intervention],MATCH(A300,Data[Label],0))</f>
        <v>78.28</v>
      </c>
      <c r="F300" s="218">
        <f>INDEX(Data[FY2026 TLC],MATCH(A300,Data[Label],0))</f>
        <v>385.29</v>
      </c>
      <c r="G300" s="177">
        <f t="shared" si="329"/>
        <v>1439439</v>
      </c>
      <c r="H300" s="177">
        <f t="shared" si="330"/>
        <v>129713</v>
      </c>
      <c r="I300" s="177">
        <f t="shared" si="331"/>
        <v>127675</v>
      </c>
      <c r="J300" s="177">
        <f t="shared" si="332"/>
        <v>628408</v>
      </c>
      <c r="K300" s="177">
        <f>INDEX(Data[FY2026 TSS Budget Guarantee],MATCH(A300,Data[Label],0))+INDEX(Data[FY2026 PD Budget Guarantee],MATCH(A300,Data[Label],0))+INDEX(Data[FY2026 Early Intervention Budget Guarantee],MATCH(A300,Data[Label],0))+INDEX(Data[FY2026 TLC Budget Gurantee],MATCH(A300,Data[Label],0))</f>
        <v>0</v>
      </c>
      <c r="L300" s="177">
        <f t="shared" si="333"/>
        <v>2325235</v>
      </c>
      <c r="M300" s="176">
        <f>INDEX(Data[FY2027 Budget Enrollment],MATCH(A300,Data[Label],0))+INDEX(Data[FY2027 ESAs],MATCH(A300,Data[Label],0))</f>
        <v>1614.6</v>
      </c>
      <c r="N300" s="218">
        <f t="shared" si="334"/>
        <v>896.24</v>
      </c>
      <c r="O300" s="218">
        <f t="shared" si="335"/>
        <v>81.08</v>
      </c>
      <c r="P300" s="218">
        <f t="shared" si="336"/>
        <v>79.97</v>
      </c>
      <c r="Q300" s="218">
        <f t="shared" si="337"/>
        <v>393</v>
      </c>
      <c r="R300" s="177">
        <f t="shared" si="345"/>
        <v>1447069</v>
      </c>
      <c r="S300" s="177">
        <f t="shared" si="346"/>
        <v>130912</v>
      </c>
      <c r="T300" s="177">
        <f t="shared" si="347"/>
        <v>129120</v>
      </c>
      <c r="U300" s="177">
        <f t="shared" ref="U300" si="380">ROUND($M300*Q300,0)</f>
        <v>634538</v>
      </c>
      <c r="V300" s="177">
        <f t="shared" si="339"/>
        <v>0</v>
      </c>
      <c r="W300" s="177">
        <f t="shared" si="340"/>
        <v>2341639</v>
      </c>
      <c r="X300" s="177">
        <f t="shared" si="341"/>
        <v>16404</v>
      </c>
      <c r="Y300" s="178">
        <f t="shared" si="342"/>
        <v>7.0547708081118684E-3</v>
      </c>
      <c r="Z300" s="179">
        <f t="shared" si="343"/>
        <v>-16.400000000000091</v>
      </c>
      <c r="AA300" s="180">
        <f t="shared" si="344"/>
        <v>-1.0055180870631571E-2</v>
      </c>
    </row>
    <row r="301" spans="1:27" x14ac:dyDescent="0.55000000000000004">
      <c r="A301" s="229" t="s">
        <v>294</v>
      </c>
      <c r="B301" s="181">
        <f>INDEX(Data[FY2026 Budget Enrollment],MATCH(A301,Data[Label],0))+INDEX(Data[FY2026 ESA],MATCH(A301,Data[Label],0))</f>
        <v>484.9</v>
      </c>
      <c r="C301" s="91">
        <f>INDEX(Data[FY2026 TSS],MATCH(A301,Data[Label],0))</f>
        <v>1706.5</v>
      </c>
      <c r="D301" s="91">
        <f>INDEX(Data[FY2026 PD],MATCH(A301,Data[Label],0))</f>
        <v>81.680000000000007</v>
      </c>
      <c r="E301" s="91">
        <f>INDEX(Data[FY2026 Early Intervention],MATCH(A301,Data[Label],0))</f>
        <v>83.14</v>
      </c>
      <c r="F301" s="91">
        <f>INDEX(Data[FY2026 TLC],MATCH(A301,Data[Label],0))</f>
        <v>385.29</v>
      </c>
      <c r="G301" s="182">
        <f t="shared" si="329"/>
        <v>827482</v>
      </c>
      <c r="H301" s="182">
        <f t="shared" si="330"/>
        <v>39607</v>
      </c>
      <c r="I301" s="182">
        <f t="shared" si="331"/>
        <v>40315</v>
      </c>
      <c r="J301" s="182">
        <f t="shared" si="332"/>
        <v>186827</v>
      </c>
      <c r="K301" s="182">
        <f>INDEX(Data[FY2026 TSS Budget Guarantee],MATCH(A301,Data[Label],0))+INDEX(Data[FY2026 PD Budget Guarantee],MATCH(A301,Data[Label],0))+INDEX(Data[FY2026 Early Intervention Budget Guarantee],MATCH(A301,Data[Label],0))+INDEX(Data[FY2026 TLC Budget Gurantee],MATCH(A301,Data[Label],0))</f>
        <v>0</v>
      </c>
      <c r="L301" s="182">
        <f t="shared" si="333"/>
        <v>1094231</v>
      </c>
      <c r="M301" s="181">
        <f>INDEX(Data[FY2027 Budget Enrollment],MATCH(A301,Data[Label],0))+INDEX(Data[FY2027 ESAs],MATCH(A301,Data[Label],0))</f>
        <v>487.6</v>
      </c>
      <c r="N301" s="91">
        <f t="shared" si="334"/>
        <v>1720.19</v>
      </c>
      <c r="O301" s="91">
        <f t="shared" si="335"/>
        <v>83.23</v>
      </c>
      <c r="P301" s="91">
        <f t="shared" si="336"/>
        <v>84.83</v>
      </c>
      <c r="Q301" s="91">
        <f t="shared" si="337"/>
        <v>393</v>
      </c>
      <c r="R301" s="182">
        <f t="shared" si="345"/>
        <v>838765</v>
      </c>
      <c r="S301" s="182">
        <f t="shared" si="346"/>
        <v>40583</v>
      </c>
      <c r="T301" s="182">
        <f t="shared" si="347"/>
        <v>41363</v>
      </c>
      <c r="U301" s="182">
        <f t="shared" ref="U301" si="381">ROUND($M301*Q301,)</f>
        <v>191627</v>
      </c>
      <c r="V301" s="182">
        <f t="shared" si="339"/>
        <v>0</v>
      </c>
      <c r="W301" s="182">
        <f t="shared" si="340"/>
        <v>1112338</v>
      </c>
      <c r="X301" s="182">
        <f t="shared" si="341"/>
        <v>18107</v>
      </c>
      <c r="Y301" s="183">
        <f t="shared" si="342"/>
        <v>1.6547694225442344E-2</v>
      </c>
      <c r="Z301" s="184">
        <f t="shared" si="343"/>
        <v>2.7000000000000455</v>
      </c>
      <c r="AA301" s="185">
        <f t="shared" si="344"/>
        <v>5.5681583831718824E-3</v>
      </c>
    </row>
    <row r="302" spans="1:27" x14ac:dyDescent="0.55000000000000004">
      <c r="A302" s="230" t="s">
        <v>295</v>
      </c>
      <c r="B302" s="176">
        <f>INDEX(Data[FY2026 Budget Enrollment],MATCH(A302,Data[Label],0))+INDEX(Data[FY2026 ESA],MATCH(A302,Data[Label],0))</f>
        <v>523.29999999999995</v>
      </c>
      <c r="C302" s="218">
        <f>INDEX(Data[FY2026 TSS],MATCH(A302,Data[Label],0))</f>
        <v>1122.75</v>
      </c>
      <c r="D302" s="218">
        <f>INDEX(Data[FY2026 PD],MATCH(A302,Data[Label],0))</f>
        <v>75.489999999999995</v>
      </c>
      <c r="E302" s="218">
        <f>INDEX(Data[FY2026 Early Intervention],MATCH(A302,Data[Label],0))</f>
        <v>89.52</v>
      </c>
      <c r="F302" s="218">
        <f>INDEX(Data[FY2026 TLC],MATCH(A302,Data[Label],0))</f>
        <v>385.29</v>
      </c>
      <c r="G302" s="177">
        <f t="shared" si="329"/>
        <v>587535</v>
      </c>
      <c r="H302" s="177">
        <f t="shared" si="330"/>
        <v>39504</v>
      </c>
      <c r="I302" s="177">
        <f t="shared" si="331"/>
        <v>46846</v>
      </c>
      <c r="J302" s="177">
        <f t="shared" si="332"/>
        <v>201622</v>
      </c>
      <c r="K302" s="177">
        <f>INDEX(Data[FY2026 TSS Budget Guarantee],MATCH(A302,Data[Label],0))+INDEX(Data[FY2026 PD Budget Guarantee],MATCH(A302,Data[Label],0))+INDEX(Data[FY2026 Early Intervention Budget Guarantee],MATCH(A302,Data[Label],0))+INDEX(Data[FY2026 TLC Budget Gurantee],MATCH(A302,Data[Label],0))</f>
        <v>0</v>
      </c>
      <c r="L302" s="177">
        <f t="shared" si="333"/>
        <v>875507</v>
      </c>
      <c r="M302" s="176">
        <f>INDEX(Data[FY2027 Budget Enrollment],MATCH(A302,Data[Label],0))+INDEX(Data[FY2027 ESAs],MATCH(A302,Data[Label],0))</f>
        <v>509.3</v>
      </c>
      <c r="N302" s="218">
        <f t="shared" si="334"/>
        <v>1136.44</v>
      </c>
      <c r="O302" s="218">
        <f t="shared" si="335"/>
        <v>77.039999999999992</v>
      </c>
      <c r="P302" s="218">
        <f t="shared" si="336"/>
        <v>91.21</v>
      </c>
      <c r="Q302" s="218">
        <f t="shared" si="337"/>
        <v>393</v>
      </c>
      <c r="R302" s="177">
        <f t="shared" si="345"/>
        <v>578789</v>
      </c>
      <c r="S302" s="177">
        <f t="shared" si="346"/>
        <v>39236</v>
      </c>
      <c r="T302" s="177">
        <f t="shared" si="347"/>
        <v>46453</v>
      </c>
      <c r="U302" s="177">
        <f t="shared" ref="U302" si="382">ROUND($M302*Q302,0)</f>
        <v>200155</v>
      </c>
      <c r="V302" s="177">
        <f t="shared" si="339"/>
        <v>10874</v>
      </c>
      <c r="W302" s="177">
        <f t="shared" si="340"/>
        <v>875507</v>
      </c>
      <c r="X302" s="177">
        <f t="shared" si="341"/>
        <v>0</v>
      </c>
      <c r="Y302" s="178">
        <f t="shared" si="342"/>
        <v>0</v>
      </c>
      <c r="Z302" s="179">
        <f t="shared" si="343"/>
        <v>-13.999999999999943</v>
      </c>
      <c r="AA302" s="180">
        <f t="shared" si="344"/>
        <v>-2.6753296388304881E-2</v>
      </c>
    </row>
    <row r="303" spans="1:27" x14ac:dyDescent="0.55000000000000004">
      <c r="A303" s="229" t="s">
        <v>296</v>
      </c>
      <c r="B303" s="181">
        <f>INDEX(Data[FY2026 Budget Enrollment],MATCH(A303,Data[Label],0))+INDEX(Data[FY2026 ESA],MATCH(A303,Data[Label],0))</f>
        <v>613.1</v>
      </c>
      <c r="C303" s="91">
        <f>INDEX(Data[FY2026 TSS],MATCH(A303,Data[Label],0))</f>
        <v>1025.33</v>
      </c>
      <c r="D303" s="91">
        <f>INDEX(Data[FY2026 PD],MATCH(A303,Data[Label],0))</f>
        <v>76.97</v>
      </c>
      <c r="E303" s="91">
        <f>INDEX(Data[FY2026 Early Intervention],MATCH(A303,Data[Label],0))</f>
        <v>81.47</v>
      </c>
      <c r="F303" s="91">
        <f>INDEX(Data[FY2026 TLC],MATCH(A303,Data[Label],0))</f>
        <v>385.29</v>
      </c>
      <c r="G303" s="182">
        <f t="shared" si="329"/>
        <v>628630</v>
      </c>
      <c r="H303" s="182">
        <f t="shared" si="330"/>
        <v>47190</v>
      </c>
      <c r="I303" s="182">
        <f t="shared" si="331"/>
        <v>49949</v>
      </c>
      <c r="J303" s="182">
        <f t="shared" si="332"/>
        <v>236221</v>
      </c>
      <c r="K303" s="182">
        <f>INDEX(Data[FY2026 TSS Budget Guarantee],MATCH(A303,Data[Label],0))+INDEX(Data[FY2026 PD Budget Guarantee],MATCH(A303,Data[Label],0))+INDEX(Data[FY2026 Early Intervention Budget Guarantee],MATCH(A303,Data[Label],0))+INDEX(Data[FY2026 TLC Budget Gurantee],MATCH(A303,Data[Label],0))</f>
        <v>16767</v>
      </c>
      <c r="L303" s="182">
        <f t="shared" si="333"/>
        <v>978757</v>
      </c>
      <c r="M303" s="181">
        <f>INDEX(Data[FY2027 Budget Enrollment],MATCH(A303,Data[Label],0))+INDEX(Data[FY2027 ESAs],MATCH(A303,Data[Label],0))</f>
        <v>639.1</v>
      </c>
      <c r="N303" s="91">
        <f t="shared" si="334"/>
        <v>1039.02</v>
      </c>
      <c r="O303" s="91">
        <f t="shared" si="335"/>
        <v>78.52</v>
      </c>
      <c r="P303" s="91">
        <f t="shared" si="336"/>
        <v>83.16</v>
      </c>
      <c r="Q303" s="91">
        <f t="shared" si="337"/>
        <v>393</v>
      </c>
      <c r="R303" s="182">
        <f t="shared" si="345"/>
        <v>664038</v>
      </c>
      <c r="S303" s="182">
        <f t="shared" si="346"/>
        <v>50182</v>
      </c>
      <c r="T303" s="182">
        <f t="shared" si="347"/>
        <v>53148</v>
      </c>
      <c r="U303" s="182">
        <f t="shared" ref="U303" si="383">ROUND($M303*Q303,)</f>
        <v>251166</v>
      </c>
      <c r="V303" s="182">
        <f t="shared" si="339"/>
        <v>0</v>
      </c>
      <c r="W303" s="182">
        <f t="shared" si="340"/>
        <v>1018534</v>
      </c>
      <c r="X303" s="182">
        <f t="shared" si="341"/>
        <v>39777</v>
      </c>
      <c r="Y303" s="183">
        <f t="shared" si="342"/>
        <v>4.06403223680648E-2</v>
      </c>
      <c r="Z303" s="184">
        <f t="shared" si="343"/>
        <v>26</v>
      </c>
      <c r="AA303" s="185">
        <f t="shared" si="344"/>
        <v>4.240743761213505E-2</v>
      </c>
    </row>
    <row r="304" spans="1:27" x14ac:dyDescent="0.55000000000000004">
      <c r="A304" s="230" t="s">
        <v>297</v>
      </c>
      <c r="B304" s="176">
        <f>INDEX(Data[FY2026 Budget Enrollment],MATCH(A304,Data[Label],0))+INDEX(Data[FY2026 ESA],MATCH(A304,Data[Label],0))</f>
        <v>1701.1</v>
      </c>
      <c r="C304" s="218">
        <f>INDEX(Data[FY2026 TSS],MATCH(A304,Data[Label],0))</f>
        <v>1157.71</v>
      </c>
      <c r="D304" s="218">
        <f>INDEX(Data[FY2026 PD],MATCH(A304,Data[Label],0))</f>
        <v>76.34</v>
      </c>
      <c r="E304" s="218">
        <f>INDEX(Data[FY2026 Early Intervention],MATCH(A304,Data[Label],0))</f>
        <v>84.55</v>
      </c>
      <c r="F304" s="218">
        <f>INDEX(Data[FY2026 TLC],MATCH(A304,Data[Label],0))</f>
        <v>385.29</v>
      </c>
      <c r="G304" s="177">
        <f t="shared" si="329"/>
        <v>1969380</v>
      </c>
      <c r="H304" s="177">
        <f t="shared" si="330"/>
        <v>129862</v>
      </c>
      <c r="I304" s="177">
        <f t="shared" si="331"/>
        <v>143828</v>
      </c>
      <c r="J304" s="177">
        <f t="shared" si="332"/>
        <v>655417</v>
      </c>
      <c r="K304" s="177">
        <f>INDEX(Data[FY2026 TSS Budget Guarantee],MATCH(A304,Data[Label],0))+INDEX(Data[FY2026 PD Budget Guarantee],MATCH(A304,Data[Label],0))+INDEX(Data[FY2026 Early Intervention Budget Guarantee],MATCH(A304,Data[Label],0))+INDEX(Data[FY2026 TLC Budget Gurantee],MATCH(A304,Data[Label],0))</f>
        <v>0</v>
      </c>
      <c r="L304" s="177">
        <f t="shared" si="333"/>
        <v>2898487</v>
      </c>
      <c r="M304" s="176">
        <f>INDEX(Data[FY2027 Budget Enrollment],MATCH(A304,Data[Label],0))+INDEX(Data[FY2027 ESAs],MATCH(A304,Data[Label],0))</f>
        <v>1694</v>
      </c>
      <c r="N304" s="218">
        <f t="shared" si="334"/>
        <v>1171.4000000000001</v>
      </c>
      <c r="O304" s="218">
        <f t="shared" si="335"/>
        <v>77.89</v>
      </c>
      <c r="P304" s="218">
        <f t="shared" si="336"/>
        <v>86.24</v>
      </c>
      <c r="Q304" s="218">
        <f t="shared" si="337"/>
        <v>393</v>
      </c>
      <c r="R304" s="177">
        <f t="shared" si="345"/>
        <v>1984352</v>
      </c>
      <c r="S304" s="177">
        <f t="shared" si="346"/>
        <v>131946</v>
      </c>
      <c r="T304" s="177">
        <f t="shared" si="347"/>
        <v>146091</v>
      </c>
      <c r="U304" s="177">
        <f t="shared" ref="U304" si="384">ROUND($M304*Q304,0)</f>
        <v>665742</v>
      </c>
      <c r="V304" s="177">
        <f t="shared" si="339"/>
        <v>0</v>
      </c>
      <c r="W304" s="177">
        <f t="shared" si="340"/>
        <v>2928131</v>
      </c>
      <c r="X304" s="177">
        <f t="shared" si="341"/>
        <v>29644</v>
      </c>
      <c r="Y304" s="178">
        <f t="shared" si="342"/>
        <v>1.0227404849495617E-2</v>
      </c>
      <c r="Z304" s="179">
        <f t="shared" si="343"/>
        <v>-7.0999999999999091</v>
      </c>
      <c r="AA304" s="180">
        <f t="shared" si="344"/>
        <v>-4.1737699135852742E-3</v>
      </c>
    </row>
    <row r="305" spans="1:27" x14ac:dyDescent="0.55000000000000004">
      <c r="A305" s="229" t="s">
        <v>298</v>
      </c>
      <c r="B305" s="181">
        <f>INDEX(Data[FY2026 Budget Enrollment],MATCH(A305,Data[Label],0))+INDEX(Data[FY2026 ESA],MATCH(A305,Data[Label],0))</f>
        <v>11767.4</v>
      </c>
      <c r="C305" s="91">
        <f>INDEX(Data[FY2026 TSS],MATCH(A305,Data[Label],0))</f>
        <v>729.94</v>
      </c>
      <c r="D305" s="91">
        <f>INDEX(Data[FY2026 PD],MATCH(A305,Data[Label],0))</f>
        <v>73.930000000000007</v>
      </c>
      <c r="E305" s="91">
        <f>INDEX(Data[FY2026 Early Intervention],MATCH(A305,Data[Label],0))</f>
        <v>92.2</v>
      </c>
      <c r="F305" s="91">
        <f>INDEX(Data[FY2026 TLC],MATCH(A305,Data[Label],0))</f>
        <v>385.29</v>
      </c>
      <c r="G305" s="182">
        <f t="shared" si="329"/>
        <v>8589496</v>
      </c>
      <c r="H305" s="182">
        <f t="shared" si="330"/>
        <v>869964</v>
      </c>
      <c r="I305" s="182">
        <f t="shared" si="331"/>
        <v>1084954</v>
      </c>
      <c r="J305" s="182">
        <f t="shared" si="332"/>
        <v>4533862</v>
      </c>
      <c r="K305" s="182">
        <f>INDEX(Data[FY2026 TSS Budget Guarantee],MATCH(A305,Data[Label],0))+INDEX(Data[FY2026 PD Budget Guarantee],MATCH(A305,Data[Label],0))+INDEX(Data[FY2026 Early Intervention Budget Guarantee],MATCH(A305,Data[Label],0))+INDEX(Data[FY2026 TLC Budget Gurantee],MATCH(A305,Data[Label],0))</f>
        <v>0</v>
      </c>
      <c r="L305" s="182">
        <f t="shared" si="333"/>
        <v>15078276</v>
      </c>
      <c r="M305" s="181">
        <f>INDEX(Data[FY2027 Budget Enrollment],MATCH(A305,Data[Label],0))+INDEX(Data[FY2027 ESAs],MATCH(A305,Data[Label],0))</f>
        <v>11878.2</v>
      </c>
      <c r="N305" s="91">
        <f t="shared" si="334"/>
        <v>743.63000000000011</v>
      </c>
      <c r="O305" s="91">
        <f t="shared" si="335"/>
        <v>75.48</v>
      </c>
      <c r="P305" s="91">
        <f t="shared" si="336"/>
        <v>93.89</v>
      </c>
      <c r="Q305" s="91">
        <f t="shared" si="337"/>
        <v>393</v>
      </c>
      <c r="R305" s="182">
        <f t="shared" si="345"/>
        <v>8832986</v>
      </c>
      <c r="S305" s="182">
        <f t="shared" si="346"/>
        <v>896567</v>
      </c>
      <c r="T305" s="182">
        <f t="shared" si="347"/>
        <v>1115244</v>
      </c>
      <c r="U305" s="182">
        <f t="shared" ref="U305" si="385">ROUND($M305*Q305,)</f>
        <v>4668133</v>
      </c>
      <c r="V305" s="182">
        <f t="shared" si="339"/>
        <v>0</v>
      </c>
      <c r="W305" s="182">
        <f t="shared" si="340"/>
        <v>15512930</v>
      </c>
      <c r="X305" s="182">
        <f t="shared" si="341"/>
        <v>434654</v>
      </c>
      <c r="Y305" s="183">
        <f t="shared" si="342"/>
        <v>2.8826505099124065E-2</v>
      </c>
      <c r="Z305" s="184">
        <f t="shared" si="343"/>
        <v>110.80000000000109</v>
      </c>
      <c r="AA305" s="185">
        <f t="shared" si="344"/>
        <v>9.4158437717763565E-3</v>
      </c>
    </row>
    <row r="306" spans="1:27" x14ac:dyDescent="0.55000000000000004">
      <c r="A306" s="230" t="s">
        <v>299</v>
      </c>
      <c r="B306" s="176">
        <f>INDEX(Data[FY2026 Budget Enrollment],MATCH(A306,Data[Label],0))+INDEX(Data[FY2026 ESA],MATCH(A306,Data[Label],0))</f>
        <v>14592.7</v>
      </c>
      <c r="C306" s="218">
        <f>INDEX(Data[FY2026 TSS],MATCH(A306,Data[Label],0))</f>
        <v>713.33</v>
      </c>
      <c r="D306" s="218">
        <f>INDEX(Data[FY2026 PD],MATCH(A306,Data[Label],0))</f>
        <v>64.73</v>
      </c>
      <c r="E306" s="218">
        <f>INDEX(Data[FY2026 Early Intervention],MATCH(A306,Data[Label],0))</f>
        <v>80.62</v>
      </c>
      <c r="F306" s="218">
        <f>INDEX(Data[FY2026 TLC],MATCH(A306,Data[Label],0))</f>
        <v>385.29</v>
      </c>
      <c r="G306" s="177">
        <f t="shared" si="329"/>
        <v>10409411</v>
      </c>
      <c r="H306" s="177">
        <f t="shared" si="330"/>
        <v>944585</v>
      </c>
      <c r="I306" s="177">
        <f t="shared" si="331"/>
        <v>1176463</v>
      </c>
      <c r="J306" s="177">
        <f t="shared" si="332"/>
        <v>5622421</v>
      </c>
      <c r="K306" s="177">
        <f>INDEX(Data[FY2026 TSS Budget Guarantee],MATCH(A306,Data[Label],0))+INDEX(Data[FY2026 PD Budget Guarantee],MATCH(A306,Data[Label],0))+INDEX(Data[FY2026 Early Intervention Budget Guarantee],MATCH(A306,Data[Label],0))+INDEX(Data[FY2026 TLC Budget Gurantee],MATCH(A306,Data[Label],0))</f>
        <v>0</v>
      </c>
      <c r="L306" s="177">
        <f t="shared" si="333"/>
        <v>18152880</v>
      </c>
      <c r="M306" s="176">
        <f>INDEX(Data[FY2027 Budget Enrollment],MATCH(A306,Data[Label],0))+INDEX(Data[FY2027 ESAs],MATCH(A306,Data[Label],0))</f>
        <v>15912.6</v>
      </c>
      <c r="N306" s="218">
        <f t="shared" si="334"/>
        <v>727.0200000000001</v>
      </c>
      <c r="O306" s="218">
        <f t="shared" si="335"/>
        <v>66.28</v>
      </c>
      <c r="P306" s="218">
        <f t="shared" si="336"/>
        <v>82.31</v>
      </c>
      <c r="Q306" s="218">
        <f t="shared" si="337"/>
        <v>393</v>
      </c>
      <c r="R306" s="177">
        <f t="shared" si="345"/>
        <v>11568778</v>
      </c>
      <c r="S306" s="177">
        <f t="shared" si="346"/>
        <v>1054687</v>
      </c>
      <c r="T306" s="177">
        <f t="shared" si="347"/>
        <v>1309766</v>
      </c>
      <c r="U306" s="177">
        <f t="shared" ref="U306" si="386">ROUND($M306*Q306,0)</f>
        <v>6253652</v>
      </c>
      <c r="V306" s="177">
        <f t="shared" si="339"/>
        <v>0</v>
      </c>
      <c r="W306" s="177">
        <f t="shared" si="340"/>
        <v>20186883</v>
      </c>
      <c r="X306" s="177">
        <f t="shared" si="341"/>
        <v>2034003</v>
      </c>
      <c r="Y306" s="178">
        <f t="shared" si="342"/>
        <v>0.11204850139481999</v>
      </c>
      <c r="Z306" s="179">
        <f t="shared" si="343"/>
        <v>1319.8999999999996</v>
      </c>
      <c r="AA306" s="180">
        <f t="shared" si="344"/>
        <v>9.0449334256169148E-2</v>
      </c>
    </row>
    <row r="307" spans="1:27" x14ac:dyDescent="0.55000000000000004">
      <c r="A307" s="229" t="s">
        <v>300</v>
      </c>
      <c r="B307" s="181">
        <f>INDEX(Data[FY2026 Budget Enrollment],MATCH(A307,Data[Label],0))+INDEX(Data[FY2026 ESA],MATCH(A307,Data[Label],0))</f>
        <v>2297.6</v>
      </c>
      <c r="C307" s="91">
        <f>INDEX(Data[FY2026 TSS],MATCH(A307,Data[Label],0))</f>
        <v>773.33</v>
      </c>
      <c r="D307" s="91">
        <f>INDEX(Data[FY2026 PD],MATCH(A307,Data[Label],0))</f>
        <v>80.84</v>
      </c>
      <c r="E307" s="91">
        <f>INDEX(Data[FY2026 Early Intervention],MATCH(A307,Data[Label],0))</f>
        <v>71.45</v>
      </c>
      <c r="F307" s="91">
        <f>INDEX(Data[FY2026 TLC],MATCH(A307,Data[Label],0))</f>
        <v>385.29</v>
      </c>
      <c r="G307" s="182">
        <f t="shared" si="329"/>
        <v>1776803</v>
      </c>
      <c r="H307" s="182">
        <f t="shared" si="330"/>
        <v>185738</v>
      </c>
      <c r="I307" s="182">
        <f t="shared" si="331"/>
        <v>164164</v>
      </c>
      <c r="J307" s="182">
        <f t="shared" si="332"/>
        <v>885242</v>
      </c>
      <c r="K307" s="182">
        <f>INDEX(Data[FY2026 TSS Budget Guarantee],MATCH(A307,Data[Label],0))+INDEX(Data[FY2026 PD Budget Guarantee],MATCH(A307,Data[Label],0))+INDEX(Data[FY2026 Early Intervention Budget Guarantee],MATCH(A307,Data[Label],0))+INDEX(Data[FY2026 TLC Budget Gurantee],MATCH(A307,Data[Label],0))</f>
        <v>0</v>
      </c>
      <c r="L307" s="182">
        <f t="shared" si="333"/>
        <v>3011947</v>
      </c>
      <c r="M307" s="181">
        <f>INDEX(Data[FY2027 Budget Enrollment],MATCH(A307,Data[Label],0))+INDEX(Data[FY2027 ESAs],MATCH(A307,Data[Label],0))</f>
        <v>2263.9</v>
      </c>
      <c r="N307" s="91">
        <f t="shared" si="334"/>
        <v>787.0200000000001</v>
      </c>
      <c r="O307" s="91">
        <f t="shared" si="335"/>
        <v>82.39</v>
      </c>
      <c r="P307" s="91">
        <f t="shared" si="336"/>
        <v>73.14</v>
      </c>
      <c r="Q307" s="91">
        <f t="shared" si="337"/>
        <v>393</v>
      </c>
      <c r="R307" s="182">
        <f t="shared" si="345"/>
        <v>1781735</v>
      </c>
      <c r="S307" s="182">
        <f t="shared" si="346"/>
        <v>186523</v>
      </c>
      <c r="T307" s="182">
        <f t="shared" si="347"/>
        <v>165582</v>
      </c>
      <c r="U307" s="182">
        <f t="shared" ref="U307" si="387">ROUND($M307*Q307,)</f>
        <v>889713</v>
      </c>
      <c r="V307" s="182">
        <f t="shared" si="339"/>
        <v>0</v>
      </c>
      <c r="W307" s="182">
        <f t="shared" si="340"/>
        <v>3023553</v>
      </c>
      <c r="X307" s="182">
        <f t="shared" si="341"/>
        <v>11606</v>
      </c>
      <c r="Y307" s="183">
        <f t="shared" si="342"/>
        <v>3.8533214561876422E-3</v>
      </c>
      <c r="Z307" s="184">
        <f t="shared" si="343"/>
        <v>-33.699999999999818</v>
      </c>
      <c r="AA307" s="185">
        <f t="shared" si="344"/>
        <v>-1.4667479108635018E-2</v>
      </c>
    </row>
    <row r="308" spans="1:27" x14ac:dyDescent="0.55000000000000004">
      <c r="A308" s="230" t="s">
        <v>301</v>
      </c>
      <c r="B308" s="176">
        <f>INDEX(Data[FY2026 Budget Enrollment],MATCH(A308,Data[Label],0))+INDEX(Data[FY2026 ESA],MATCH(A308,Data[Label],0))</f>
        <v>548.4</v>
      </c>
      <c r="C308" s="218">
        <f>INDEX(Data[FY2026 TSS],MATCH(A308,Data[Label],0))</f>
        <v>1383.62</v>
      </c>
      <c r="D308" s="218">
        <f>INDEX(Data[FY2026 PD],MATCH(A308,Data[Label],0))</f>
        <v>87.87</v>
      </c>
      <c r="E308" s="218">
        <f>INDEX(Data[FY2026 Early Intervention],MATCH(A308,Data[Label],0))</f>
        <v>89.23</v>
      </c>
      <c r="F308" s="218">
        <f>INDEX(Data[FY2026 TLC],MATCH(A308,Data[Label],0))</f>
        <v>385.29</v>
      </c>
      <c r="G308" s="177">
        <f t="shared" si="329"/>
        <v>758777</v>
      </c>
      <c r="H308" s="177">
        <f t="shared" si="330"/>
        <v>48188</v>
      </c>
      <c r="I308" s="177">
        <f t="shared" si="331"/>
        <v>48934</v>
      </c>
      <c r="J308" s="177">
        <f t="shared" si="332"/>
        <v>211293</v>
      </c>
      <c r="K308" s="177">
        <f>INDEX(Data[FY2026 TSS Budget Guarantee],MATCH(A308,Data[Label],0))+INDEX(Data[FY2026 PD Budget Guarantee],MATCH(A308,Data[Label],0))+INDEX(Data[FY2026 Early Intervention Budget Guarantee],MATCH(A308,Data[Label],0))+INDEX(Data[FY2026 TLC Budget Gurantee],MATCH(A308,Data[Label],0))</f>
        <v>6473</v>
      </c>
      <c r="L308" s="177">
        <f t="shared" si="333"/>
        <v>1073665</v>
      </c>
      <c r="M308" s="176">
        <f>INDEX(Data[FY2027 Budget Enrollment],MATCH(A308,Data[Label],0))+INDEX(Data[FY2027 ESAs],MATCH(A308,Data[Label],0))</f>
        <v>577.20000000000005</v>
      </c>
      <c r="N308" s="218">
        <f t="shared" si="334"/>
        <v>1397.31</v>
      </c>
      <c r="O308" s="218">
        <f t="shared" si="335"/>
        <v>89.42</v>
      </c>
      <c r="P308" s="218">
        <f t="shared" si="336"/>
        <v>90.92</v>
      </c>
      <c r="Q308" s="218">
        <f t="shared" si="337"/>
        <v>393</v>
      </c>
      <c r="R308" s="177">
        <f t="shared" si="345"/>
        <v>806527</v>
      </c>
      <c r="S308" s="177">
        <f t="shared" si="346"/>
        <v>51613</v>
      </c>
      <c r="T308" s="177">
        <f t="shared" si="347"/>
        <v>52479</v>
      </c>
      <c r="U308" s="177">
        <f t="shared" ref="U308" si="388">ROUND($M308*Q308,0)</f>
        <v>226840</v>
      </c>
      <c r="V308" s="177">
        <f t="shared" si="339"/>
        <v>0</v>
      </c>
      <c r="W308" s="177">
        <f t="shared" si="340"/>
        <v>1137459</v>
      </c>
      <c r="X308" s="177">
        <f t="shared" si="341"/>
        <v>63794</v>
      </c>
      <c r="Y308" s="178">
        <f t="shared" si="342"/>
        <v>5.9417043491219325E-2</v>
      </c>
      <c r="Z308" s="179">
        <f t="shared" si="343"/>
        <v>28.800000000000068</v>
      </c>
      <c r="AA308" s="180">
        <f t="shared" si="344"/>
        <v>5.2516411378555929E-2</v>
      </c>
    </row>
    <row r="309" spans="1:27" x14ac:dyDescent="0.55000000000000004">
      <c r="A309" s="229" t="s">
        <v>302</v>
      </c>
      <c r="B309" s="181">
        <f>INDEX(Data[FY2026 Budget Enrollment],MATCH(A309,Data[Label],0))+INDEX(Data[FY2026 ESA],MATCH(A309,Data[Label],0))</f>
        <v>1814.2</v>
      </c>
      <c r="C309" s="91">
        <f>INDEX(Data[FY2026 TSS],MATCH(A309,Data[Label],0))</f>
        <v>861.58</v>
      </c>
      <c r="D309" s="91">
        <f>INDEX(Data[FY2026 PD],MATCH(A309,Data[Label],0))</f>
        <v>77.61</v>
      </c>
      <c r="E309" s="91">
        <f>INDEX(Data[FY2026 Early Intervention],MATCH(A309,Data[Label],0))</f>
        <v>85.77</v>
      </c>
      <c r="F309" s="91">
        <f>INDEX(Data[FY2026 TLC],MATCH(A309,Data[Label],0))</f>
        <v>385.29</v>
      </c>
      <c r="G309" s="182">
        <f t="shared" si="329"/>
        <v>1563078</v>
      </c>
      <c r="H309" s="182">
        <f t="shared" si="330"/>
        <v>140800</v>
      </c>
      <c r="I309" s="182">
        <f t="shared" si="331"/>
        <v>155604</v>
      </c>
      <c r="J309" s="182">
        <f t="shared" si="332"/>
        <v>698993</v>
      </c>
      <c r="K309" s="182">
        <f>INDEX(Data[FY2026 TSS Budget Guarantee],MATCH(A309,Data[Label],0))+INDEX(Data[FY2026 PD Budget Guarantee],MATCH(A309,Data[Label],0))+INDEX(Data[FY2026 Early Intervention Budget Guarantee],MATCH(A309,Data[Label],0))+INDEX(Data[FY2026 TLC Budget Gurantee],MATCH(A309,Data[Label],0))</f>
        <v>0</v>
      </c>
      <c r="L309" s="182">
        <f t="shared" si="333"/>
        <v>2558475</v>
      </c>
      <c r="M309" s="181">
        <f>INDEX(Data[FY2027 Budget Enrollment],MATCH(A309,Data[Label],0))+INDEX(Data[FY2027 ESAs],MATCH(A309,Data[Label],0))</f>
        <v>1824.4</v>
      </c>
      <c r="N309" s="91">
        <f t="shared" si="334"/>
        <v>875.2700000000001</v>
      </c>
      <c r="O309" s="91">
        <f t="shared" si="335"/>
        <v>79.16</v>
      </c>
      <c r="P309" s="91">
        <f t="shared" si="336"/>
        <v>87.46</v>
      </c>
      <c r="Q309" s="91">
        <f t="shared" si="337"/>
        <v>393</v>
      </c>
      <c r="R309" s="182">
        <f t="shared" si="345"/>
        <v>1596843</v>
      </c>
      <c r="S309" s="182">
        <f t="shared" si="346"/>
        <v>144420</v>
      </c>
      <c r="T309" s="182">
        <f t="shared" si="347"/>
        <v>159562</v>
      </c>
      <c r="U309" s="182">
        <f t="shared" ref="U309" si="389">ROUND($M309*Q309,)</f>
        <v>716989</v>
      </c>
      <c r="V309" s="182">
        <f t="shared" si="339"/>
        <v>0</v>
      </c>
      <c r="W309" s="182">
        <f t="shared" si="340"/>
        <v>2617814</v>
      </c>
      <c r="X309" s="182">
        <f t="shared" si="341"/>
        <v>59339</v>
      </c>
      <c r="Y309" s="183">
        <f t="shared" si="342"/>
        <v>2.3193113084943179E-2</v>
      </c>
      <c r="Z309" s="184">
        <f t="shared" si="343"/>
        <v>10.200000000000045</v>
      </c>
      <c r="AA309" s="185">
        <f t="shared" si="344"/>
        <v>5.6223128651747573E-3</v>
      </c>
    </row>
    <row r="310" spans="1:27" x14ac:dyDescent="0.55000000000000004">
      <c r="A310" s="230" t="s">
        <v>303</v>
      </c>
      <c r="B310" s="176">
        <f>INDEX(Data[FY2026 Budget Enrollment],MATCH(A310,Data[Label],0))+INDEX(Data[FY2026 ESA],MATCH(A310,Data[Label],0))</f>
        <v>362.2</v>
      </c>
      <c r="C310" s="218">
        <f>INDEX(Data[FY2026 TSS],MATCH(A310,Data[Label],0))</f>
        <v>1498.34</v>
      </c>
      <c r="D310" s="218">
        <f>INDEX(Data[FY2026 PD],MATCH(A310,Data[Label],0))</f>
        <v>81.83</v>
      </c>
      <c r="E310" s="218">
        <f>INDEX(Data[FY2026 Early Intervention],MATCH(A310,Data[Label],0))</f>
        <v>74.59</v>
      </c>
      <c r="F310" s="218">
        <f>INDEX(Data[FY2026 TLC],MATCH(A310,Data[Label],0))</f>
        <v>385.29</v>
      </c>
      <c r="G310" s="177">
        <f t="shared" si="329"/>
        <v>542699</v>
      </c>
      <c r="H310" s="177">
        <f t="shared" si="330"/>
        <v>29639</v>
      </c>
      <c r="I310" s="177">
        <f t="shared" si="331"/>
        <v>27016</v>
      </c>
      <c r="J310" s="177">
        <f t="shared" si="332"/>
        <v>139552</v>
      </c>
      <c r="K310" s="177">
        <f>INDEX(Data[FY2026 TSS Budget Guarantee],MATCH(A310,Data[Label],0))+INDEX(Data[FY2026 PD Budget Guarantee],MATCH(A310,Data[Label],0))+INDEX(Data[FY2026 Early Intervention Budget Guarantee],MATCH(A310,Data[Label],0))+INDEX(Data[FY2026 TLC Budget Gurantee],MATCH(A310,Data[Label],0))</f>
        <v>0</v>
      </c>
      <c r="L310" s="177">
        <f t="shared" si="333"/>
        <v>738906</v>
      </c>
      <c r="M310" s="176">
        <f>INDEX(Data[FY2027 Budget Enrollment],MATCH(A310,Data[Label],0))+INDEX(Data[FY2027 ESAs],MATCH(A310,Data[Label],0))</f>
        <v>370.4</v>
      </c>
      <c r="N310" s="218">
        <f t="shared" si="334"/>
        <v>1512.03</v>
      </c>
      <c r="O310" s="218">
        <f t="shared" si="335"/>
        <v>83.38</v>
      </c>
      <c r="P310" s="218">
        <f t="shared" si="336"/>
        <v>76.28</v>
      </c>
      <c r="Q310" s="218">
        <f t="shared" si="337"/>
        <v>393</v>
      </c>
      <c r="R310" s="177">
        <f t="shared" si="345"/>
        <v>560056</v>
      </c>
      <c r="S310" s="177">
        <f t="shared" si="346"/>
        <v>30884</v>
      </c>
      <c r="T310" s="177">
        <f t="shared" si="347"/>
        <v>28254</v>
      </c>
      <c r="U310" s="177">
        <f t="shared" ref="U310" si="390">ROUND($M310*Q310,0)</f>
        <v>145567</v>
      </c>
      <c r="V310" s="177">
        <f t="shared" si="339"/>
        <v>0</v>
      </c>
      <c r="W310" s="177">
        <f t="shared" si="340"/>
        <v>764761</v>
      </c>
      <c r="X310" s="177">
        <f t="shared" si="341"/>
        <v>25855</v>
      </c>
      <c r="Y310" s="178">
        <f t="shared" si="342"/>
        <v>3.4990919007289158E-2</v>
      </c>
      <c r="Z310" s="179">
        <f t="shared" si="343"/>
        <v>8.1999999999999886</v>
      </c>
      <c r="AA310" s="180">
        <f t="shared" si="344"/>
        <v>2.2639425731639948E-2</v>
      </c>
    </row>
    <row r="311" spans="1:27" x14ac:dyDescent="0.55000000000000004">
      <c r="A311" s="229" t="s">
        <v>304</v>
      </c>
      <c r="B311" s="181">
        <f>INDEX(Data[FY2026 Budget Enrollment],MATCH(A311,Data[Label],0))+INDEX(Data[FY2026 ESA],MATCH(A311,Data[Label],0))</f>
        <v>808.9</v>
      </c>
      <c r="C311" s="91">
        <f>INDEX(Data[FY2026 TSS],MATCH(A311,Data[Label],0))</f>
        <v>949.11</v>
      </c>
      <c r="D311" s="91">
        <f>INDEX(Data[FY2026 PD],MATCH(A311,Data[Label],0))</f>
        <v>72.84</v>
      </c>
      <c r="E311" s="91">
        <f>INDEX(Data[FY2026 Early Intervention],MATCH(A311,Data[Label],0))</f>
        <v>75.17</v>
      </c>
      <c r="F311" s="91">
        <f>INDEX(Data[FY2026 TLC],MATCH(A311,Data[Label],0))</f>
        <v>385.29</v>
      </c>
      <c r="G311" s="182">
        <f t="shared" si="329"/>
        <v>767735</v>
      </c>
      <c r="H311" s="182">
        <f t="shared" si="330"/>
        <v>58920</v>
      </c>
      <c r="I311" s="182">
        <f t="shared" si="331"/>
        <v>60805</v>
      </c>
      <c r="J311" s="182">
        <f t="shared" si="332"/>
        <v>311661</v>
      </c>
      <c r="K311" s="182">
        <f>INDEX(Data[FY2026 TSS Budget Guarantee],MATCH(A311,Data[Label],0))+INDEX(Data[FY2026 PD Budget Guarantee],MATCH(A311,Data[Label],0))+INDEX(Data[FY2026 Early Intervention Budget Guarantee],MATCH(A311,Data[Label],0))+INDEX(Data[FY2026 TLC Budget Gurantee],MATCH(A311,Data[Label],0))</f>
        <v>0</v>
      </c>
      <c r="L311" s="182">
        <f t="shared" si="333"/>
        <v>1199121</v>
      </c>
      <c r="M311" s="181">
        <f>INDEX(Data[FY2027 Budget Enrollment],MATCH(A311,Data[Label],0))+INDEX(Data[FY2027 ESAs],MATCH(A311,Data[Label],0))</f>
        <v>826.2</v>
      </c>
      <c r="N311" s="91">
        <f t="shared" si="334"/>
        <v>962.80000000000007</v>
      </c>
      <c r="O311" s="91">
        <f t="shared" si="335"/>
        <v>74.39</v>
      </c>
      <c r="P311" s="91">
        <f t="shared" si="336"/>
        <v>76.86</v>
      </c>
      <c r="Q311" s="91">
        <f t="shared" si="337"/>
        <v>393</v>
      </c>
      <c r="R311" s="182">
        <f t="shared" si="345"/>
        <v>795465</v>
      </c>
      <c r="S311" s="182">
        <f t="shared" si="346"/>
        <v>61461</v>
      </c>
      <c r="T311" s="182">
        <f t="shared" si="347"/>
        <v>63502</v>
      </c>
      <c r="U311" s="182">
        <f t="shared" ref="U311" si="391">ROUND($M311*Q311,)</f>
        <v>324697</v>
      </c>
      <c r="V311" s="182">
        <f t="shared" si="339"/>
        <v>0</v>
      </c>
      <c r="W311" s="182">
        <f t="shared" si="340"/>
        <v>1245125</v>
      </c>
      <c r="X311" s="182">
        <f t="shared" si="341"/>
        <v>46004</v>
      </c>
      <c r="Y311" s="183">
        <f t="shared" si="342"/>
        <v>3.8364768859856513E-2</v>
      </c>
      <c r="Z311" s="184">
        <f t="shared" si="343"/>
        <v>17.300000000000068</v>
      </c>
      <c r="AA311" s="185">
        <f t="shared" si="344"/>
        <v>2.1387068858944331E-2</v>
      </c>
    </row>
    <row r="312" spans="1:27" x14ac:dyDescent="0.55000000000000004">
      <c r="A312" s="230" t="s">
        <v>305</v>
      </c>
      <c r="B312" s="176">
        <f>INDEX(Data[FY2026 Budget Enrollment],MATCH(A312,Data[Label],0))+INDEX(Data[FY2026 ESA],MATCH(A312,Data[Label],0))</f>
        <v>397</v>
      </c>
      <c r="C312" s="218">
        <f>INDEX(Data[FY2026 TSS],MATCH(A312,Data[Label],0))</f>
        <v>1412.1</v>
      </c>
      <c r="D312" s="218">
        <f>INDEX(Data[FY2026 PD],MATCH(A312,Data[Label],0))</f>
        <v>103.25</v>
      </c>
      <c r="E312" s="218">
        <f>INDEX(Data[FY2026 Early Intervention],MATCH(A312,Data[Label],0))</f>
        <v>128.46</v>
      </c>
      <c r="F312" s="218">
        <f>INDEX(Data[FY2026 TLC],MATCH(A312,Data[Label],0))</f>
        <v>385.29</v>
      </c>
      <c r="G312" s="177">
        <f t="shared" si="329"/>
        <v>560604</v>
      </c>
      <c r="H312" s="177">
        <f t="shared" si="330"/>
        <v>40990</v>
      </c>
      <c r="I312" s="177">
        <f t="shared" si="331"/>
        <v>50999</v>
      </c>
      <c r="J312" s="177">
        <f t="shared" si="332"/>
        <v>152960</v>
      </c>
      <c r="K312" s="177">
        <f>INDEX(Data[FY2026 TSS Budget Guarantee],MATCH(A312,Data[Label],0))+INDEX(Data[FY2026 PD Budget Guarantee],MATCH(A312,Data[Label],0))+INDEX(Data[FY2026 Early Intervention Budget Guarantee],MATCH(A312,Data[Label],0))+INDEX(Data[FY2026 TLC Budget Gurantee],MATCH(A312,Data[Label],0))</f>
        <v>0</v>
      </c>
      <c r="L312" s="177">
        <f t="shared" si="333"/>
        <v>805553</v>
      </c>
      <c r="M312" s="176">
        <f>INDEX(Data[FY2027 Budget Enrollment],MATCH(A312,Data[Label],0))+INDEX(Data[FY2027 ESAs],MATCH(A312,Data[Label],0))</f>
        <v>410</v>
      </c>
      <c r="N312" s="218">
        <f t="shared" si="334"/>
        <v>1425.79</v>
      </c>
      <c r="O312" s="218">
        <f t="shared" si="335"/>
        <v>104.8</v>
      </c>
      <c r="P312" s="218">
        <f t="shared" si="336"/>
        <v>130.15</v>
      </c>
      <c r="Q312" s="218">
        <f t="shared" si="337"/>
        <v>393</v>
      </c>
      <c r="R312" s="177">
        <f t="shared" si="345"/>
        <v>584574</v>
      </c>
      <c r="S312" s="177">
        <f t="shared" si="346"/>
        <v>42968</v>
      </c>
      <c r="T312" s="177">
        <f t="shared" si="347"/>
        <v>53362</v>
      </c>
      <c r="U312" s="177">
        <f t="shared" ref="U312" si="392">ROUND($M312*Q312,0)</f>
        <v>161130</v>
      </c>
      <c r="V312" s="177">
        <f t="shared" si="339"/>
        <v>0</v>
      </c>
      <c r="W312" s="177">
        <f t="shared" si="340"/>
        <v>842034</v>
      </c>
      <c r="X312" s="177">
        <f t="shared" si="341"/>
        <v>36481</v>
      </c>
      <c r="Y312" s="178">
        <f t="shared" si="342"/>
        <v>4.5286902289483122E-2</v>
      </c>
      <c r="Z312" s="179">
        <f t="shared" si="343"/>
        <v>13</v>
      </c>
      <c r="AA312" s="180">
        <f t="shared" si="344"/>
        <v>3.2745591939546598E-2</v>
      </c>
    </row>
    <row r="313" spans="1:27" x14ac:dyDescent="0.55000000000000004">
      <c r="A313" s="229" t="s">
        <v>306</v>
      </c>
      <c r="B313" s="181">
        <f>INDEX(Data[FY2026 Budget Enrollment],MATCH(A313,Data[Label],0))+INDEX(Data[FY2026 ESA],MATCH(A313,Data[Label],0))</f>
        <v>265.60000000000002</v>
      </c>
      <c r="C313" s="91">
        <f>INDEX(Data[FY2026 TSS],MATCH(A313,Data[Label],0))</f>
        <v>1780.52</v>
      </c>
      <c r="D313" s="91">
        <f>INDEX(Data[FY2026 PD],MATCH(A313,Data[Label],0))</f>
        <v>76.62</v>
      </c>
      <c r="E313" s="91">
        <f>INDEX(Data[FY2026 Early Intervention],MATCH(A313,Data[Label],0))</f>
        <v>72.61</v>
      </c>
      <c r="F313" s="91">
        <f>INDEX(Data[FY2026 TLC],MATCH(A313,Data[Label],0))</f>
        <v>385.29</v>
      </c>
      <c r="G313" s="182">
        <f t="shared" si="329"/>
        <v>472906</v>
      </c>
      <c r="H313" s="182">
        <f t="shared" si="330"/>
        <v>20350</v>
      </c>
      <c r="I313" s="182">
        <f t="shared" si="331"/>
        <v>19285</v>
      </c>
      <c r="J313" s="182">
        <f t="shared" si="332"/>
        <v>102333</v>
      </c>
      <c r="K313" s="182">
        <f>INDEX(Data[FY2026 TSS Budget Guarantee],MATCH(A313,Data[Label],0))+INDEX(Data[FY2026 PD Budget Guarantee],MATCH(A313,Data[Label],0))+INDEX(Data[FY2026 Early Intervention Budget Guarantee],MATCH(A313,Data[Label],0))+INDEX(Data[FY2026 TLC Budget Gurantee],MATCH(A313,Data[Label],0))</f>
        <v>0</v>
      </c>
      <c r="L313" s="182">
        <f t="shared" si="333"/>
        <v>614874</v>
      </c>
      <c r="M313" s="181">
        <f>INDEX(Data[FY2027 Budget Enrollment],MATCH(A313,Data[Label],0))+INDEX(Data[FY2027 ESAs],MATCH(A313,Data[Label],0))</f>
        <v>252.6</v>
      </c>
      <c r="N313" s="91">
        <f t="shared" si="334"/>
        <v>1794.21</v>
      </c>
      <c r="O313" s="91">
        <f t="shared" si="335"/>
        <v>78.17</v>
      </c>
      <c r="P313" s="91">
        <f t="shared" si="336"/>
        <v>74.3</v>
      </c>
      <c r="Q313" s="91">
        <f t="shared" si="337"/>
        <v>393</v>
      </c>
      <c r="R313" s="182">
        <f t="shared" si="345"/>
        <v>453217</v>
      </c>
      <c r="S313" s="182">
        <f t="shared" si="346"/>
        <v>19746</v>
      </c>
      <c r="T313" s="182">
        <f t="shared" si="347"/>
        <v>18768</v>
      </c>
      <c r="U313" s="182">
        <f t="shared" ref="U313" si="393">ROUND($M313*Q313,)</f>
        <v>99272</v>
      </c>
      <c r="V313" s="182">
        <f t="shared" si="339"/>
        <v>23871</v>
      </c>
      <c r="W313" s="182">
        <f t="shared" si="340"/>
        <v>614874</v>
      </c>
      <c r="X313" s="182">
        <f t="shared" si="341"/>
        <v>0</v>
      </c>
      <c r="Y313" s="183">
        <f t="shared" si="342"/>
        <v>0</v>
      </c>
      <c r="Z313" s="184">
        <f t="shared" si="343"/>
        <v>-13.000000000000028</v>
      </c>
      <c r="AA313" s="185">
        <f t="shared" si="344"/>
        <v>-4.8945783132530223E-2</v>
      </c>
    </row>
    <row r="314" spans="1:27" x14ac:dyDescent="0.55000000000000004">
      <c r="A314" s="230" t="s">
        <v>307</v>
      </c>
      <c r="B314" s="176">
        <f>INDEX(Data[FY2026 Budget Enrollment],MATCH(A314,Data[Label],0))+INDEX(Data[FY2026 ESA],MATCH(A314,Data[Label],0))</f>
        <v>955.6</v>
      </c>
      <c r="C314" s="218">
        <f>INDEX(Data[FY2026 TSS],MATCH(A314,Data[Label],0))</f>
        <v>944.69</v>
      </c>
      <c r="D314" s="218">
        <f>INDEX(Data[FY2026 PD],MATCH(A314,Data[Label],0))</f>
        <v>70.03</v>
      </c>
      <c r="E314" s="218">
        <f>INDEX(Data[FY2026 Early Intervention],MATCH(A314,Data[Label],0))</f>
        <v>77.2</v>
      </c>
      <c r="F314" s="218">
        <f>INDEX(Data[FY2026 TLC],MATCH(A314,Data[Label],0))</f>
        <v>385.29</v>
      </c>
      <c r="G314" s="177">
        <f t="shared" si="329"/>
        <v>902746</v>
      </c>
      <c r="H314" s="177">
        <f t="shared" si="330"/>
        <v>66921</v>
      </c>
      <c r="I314" s="177">
        <f t="shared" si="331"/>
        <v>73772</v>
      </c>
      <c r="J314" s="177">
        <f t="shared" si="332"/>
        <v>368183</v>
      </c>
      <c r="K314" s="177">
        <f>INDEX(Data[FY2026 TSS Budget Guarantee],MATCH(A314,Data[Label],0))+INDEX(Data[FY2026 PD Budget Guarantee],MATCH(A314,Data[Label],0))+INDEX(Data[FY2026 Early Intervention Budget Guarantee],MATCH(A314,Data[Label],0))+INDEX(Data[FY2026 TLC Budget Gurantee],MATCH(A314,Data[Label],0))</f>
        <v>0</v>
      </c>
      <c r="L314" s="177">
        <f t="shared" si="333"/>
        <v>1411622</v>
      </c>
      <c r="M314" s="176">
        <f>INDEX(Data[FY2027 Budget Enrollment],MATCH(A314,Data[Label],0))+INDEX(Data[FY2027 ESAs],MATCH(A314,Data[Label],0))</f>
        <v>943.9</v>
      </c>
      <c r="N314" s="218">
        <f t="shared" si="334"/>
        <v>958.38000000000011</v>
      </c>
      <c r="O314" s="218">
        <f t="shared" si="335"/>
        <v>71.58</v>
      </c>
      <c r="P314" s="218">
        <f t="shared" si="336"/>
        <v>78.89</v>
      </c>
      <c r="Q314" s="218">
        <f t="shared" si="337"/>
        <v>393</v>
      </c>
      <c r="R314" s="177">
        <f t="shared" si="345"/>
        <v>904615</v>
      </c>
      <c r="S314" s="177">
        <f t="shared" si="346"/>
        <v>67564</v>
      </c>
      <c r="T314" s="177">
        <f t="shared" si="347"/>
        <v>74464</v>
      </c>
      <c r="U314" s="177">
        <f t="shared" ref="U314" si="394">ROUND($M314*Q314,0)</f>
        <v>370953</v>
      </c>
      <c r="V314" s="177">
        <f t="shared" si="339"/>
        <v>0</v>
      </c>
      <c r="W314" s="177">
        <f t="shared" si="340"/>
        <v>1417596</v>
      </c>
      <c r="X314" s="177">
        <f t="shared" si="341"/>
        <v>5974</v>
      </c>
      <c r="Y314" s="178">
        <f t="shared" si="342"/>
        <v>4.232011119123958E-3</v>
      </c>
      <c r="Z314" s="179">
        <f t="shared" si="343"/>
        <v>-11.700000000000045</v>
      </c>
      <c r="AA314" s="180">
        <f t="shared" si="344"/>
        <v>-1.2243616575973258E-2</v>
      </c>
    </row>
    <row r="315" spans="1:27" x14ac:dyDescent="0.55000000000000004">
      <c r="A315" s="229" t="s">
        <v>308</v>
      </c>
      <c r="B315" s="181">
        <f>INDEX(Data[FY2026 Budget Enrollment],MATCH(A315,Data[Label],0))+INDEX(Data[FY2026 ESA],MATCH(A315,Data[Label],0))</f>
        <v>1492.3</v>
      </c>
      <c r="C315" s="91">
        <f>INDEX(Data[FY2026 TSS],MATCH(A315,Data[Label],0))</f>
        <v>857.03</v>
      </c>
      <c r="D315" s="91">
        <f>INDEX(Data[FY2026 PD],MATCH(A315,Data[Label],0))</f>
        <v>76.180000000000007</v>
      </c>
      <c r="E315" s="91">
        <f>INDEX(Data[FY2026 Early Intervention],MATCH(A315,Data[Label],0))</f>
        <v>76.069999999999993</v>
      </c>
      <c r="F315" s="91">
        <f>INDEX(Data[FY2026 TLC],MATCH(A315,Data[Label],0))</f>
        <v>385.29</v>
      </c>
      <c r="G315" s="182">
        <f t="shared" si="329"/>
        <v>1278946</v>
      </c>
      <c r="H315" s="182">
        <f t="shared" si="330"/>
        <v>113683</v>
      </c>
      <c r="I315" s="182">
        <f t="shared" si="331"/>
        <v>113519</v>
      </c>
      <c r="J315" s="182">
        <f t="shared" si="332"/>
        <v>574968</v>
      </c>
      <c r="K315" s="182">
        <f>INDEX(Data[FY2026 TSS Budget Guarantee],MATCH(A315,Data[Label],0))+INDEX(Data[FY2026 PD Budget Guarantee],MATCH(A315,Data[Label],0))+INDEX(Data[FY2026 Early Intervention Budget Guarantee],MATCH(A315,Data[Label],0))+INDEX(Data[FY2026 TLC Budget Gurantee],MATCH(A315,Data[Label],0))</f>
        <v>0</v>
      </c>
      <c r="L315" s="182">
        <f t="shared" si="333"/>
        <v>2081116</v>
      </c>
      <c r="M315" s="181">
        <f>INDEX(Data[FY2027 Budget Enrollment],MATCH(A315,Data[Label],0))+INDEX(Data[FY2027 ESAs],MATCH(A315,Data[Label],0))</f>
        <v>1504.4</v>
      </c>
      <c r="N315" s="91">
        <f t="shared" si="334"/>
        <v>870.72</v>
      </c>
      <c r="O315" s="91">
        <f t="shared" si="335"/>
        <v>77.73</v>
      </c>
      <c r="P315" s="91">
        <f t="shared" si="336"/>
        <v>77.759999999999991</v>
      </c>
      <c r="Q315" s="91">
        <f t="shared" si="337"/>
        <v>393</v>
      </c>
      <c r="R315" s="182">
        <f t="shared" si="345"/>
        <v>1309911</v>
      </c>
      <c r="S315" s="182">
        <f t="shared" si="346"/>
        <v>116937</v>
      </c>
      <c r="T315" s="182">
        <f t="shared" si="347"/>
        <v>116982</v>
      </c>
      <c r="U315" s="182">
        <f t="shared" ref="U315" si="395">ROUND($M315*Q315,)</f>
        <v>591229</v>
      </c>
      <c r="V315" s="182">
        <f t="shared" si="339"/>
        <v>0</v>
      </c>
      <c r="W315" s="182">
        <f t="shared" si="340"/>
        <v>2135059</v>
      </c>
      <c r="X315" s="182">
        <f t="shared" si="341"/>
        <v>53943</v>
      </c>
      <c r="Y315" s="183">
        <f t="shared" si="342"/>
        <v>2.592022741644387E-2</v>
      </c>
      <c r="Z315" s="184">
        <f t="shared" si="343"/>
        <v>12.100000000000136</v>
      </c>
      <c r="AA315" s="185">
        <f t="shared" si="344"/>
        <v>8.1082892179857521E-3</v>
      </c>
    </row>
    <row r="316" spans="1:27" x14ac:dyDescent="0.55000000000000004">
      <c r="A316" s="230" t="s">
        <v>309</v>
      </c>
      <c r="B316" s="176">
        <f>INDEX(Data[FY2026 Budget Enrollment],MATCH(A316,Data[Label],0))+INDEX(Data[FY2026 ESA],MATCH(A316,Data[Label],0))</f>
        <v>9147.7999999999993</v>
      </c>
      <c r="C316" s="218">
        <f>INDEX(Data[FY2026 TSS],MATCH(A316,Data[Label],0))</f>
        <v>718.02</v>
      </c>
      <c r="D316" s="218">
        <f>INDEX(Data[FY2026 PD],MATCH(A316,Data[Label],0))</f>
        <v>74.89</v>
      </c>
      <c r="E316" s="218">
        <f>INDEX(Data[FY2026 Early Intervention],MATCH(A316,Data[Label],0))</f>
        <v>74.569999999999993</v>
      </c>
      <c r="F316" s="218">
        <f>INDEX(Data[FY2026 TLC],MATCH(A316,Data[Label],0))</f>
        <v>385.29</v>
      </c>
      <c r="G316" s="177">
        <f t="shared" si="329"/>
        <v>6568303</v>
      </c>
      <c r="H316" s="177">
        <f t="shared" si="330"/>
        <v>685079</v>
      </c>
      <c r="I316" s="177">
        <f t="shared" si="331"/>
        <v>682151</v>
      </c>
      <c r="J316" s="177">
        <f t="shared" si="332"/>
        <v>3524556</v>
      </c>
      <c r="K316" s="177">
        <f>INDEX(Data[FY2026 TSS Budget Guarantee],MATCH(A316,Data[Label],0))+INDEX(Data[FY2026 PD Budget Guarantee],MATCH(A316,Data[Label],0))+INDEX(Data[FY2026 Early Intervention Budget Guarantee],MATCH(A316,Data[Label],0))+INDEX(Data[FY2026 TLC Budget Gurantee],MATCH(A316,Data[Label],0))</f>
        <v>0</v>
      </c>
      <c r="L316" s="177">
        <f t="shared" si="333"/>
        <v>11460089</v>
      </c>
      <c r="M316" s="176">
        <f>INDEX(Data[FY2027 Budget Enrollment],MATCH(A316,Data[Label],0))+INDEX(Data[FY2027 ESAs],MATCH(A316,Data[Label],0))</f>
        <v>9589.4</v>
      </c>
      <c r="N316" s="218">
        <f t="shared" si="334"/>
        <v>731.71</v>
      </c>
      <c r="O316" s="218">
        <f t="shared" si="335"/>
        <v>76.44</v>
      </c>
      <c r="P316" s="218">
        <f t="shared" si="336"/>
        <v>76.259999999999991</v>
      </c>
      <c r="Q316" s="218">
        <f t="shared" si="337"/>
        <v>393</v>
      </c>
      <c r="R316" s="177">
        <f t="shared" si="345"/>
        <v>7016660</v>
      </c>
      <c r="S316" s="177">
        <f t="shared" si="346"/>
        <v>733014</v>
      </c>
      <c r="T316" s="177">
        <f t="shared" si="347"/>
        <v>731288</v>
      </c>
      <c r="U316" s="177">
        <f t="shared" ref="U316" si="396">ROUND($M316*Q316,0)</f>
        <v>3768634</v>
      </c>
      <c r="V316" s="177">
        <f t="shared" si="339"/>
        <v>0</v>
      </c>
      <c r="W316" s="177">
        <f t="shared" si="340"/>
        <v>12249596</v>
      </c>
      <c r="X316" s="177">
        <f t="shared" si="341"/>
        <v>789507</v>
      </c>
      <c r="Y316" s="178">
        <f t="shared" si="342"/>
        <v>6.8891873352816019E-2</v>
      </c>
      <c r="Z316" s="179">
        <f t="shared" si="343"/>
        <v>441.60000000000036</v>
      </c>
      <c r="AA316" s="180">
        <f t="shared" si="344"/>
        <v>4.8273901921773582E-2</v>
      </c>
    </row>
    <row r="317" spans="1:27" x14ac:dyDescent="0.55000000000000004">
      <c r="A317" s="229" t="s">
        <v>310</v>
      </c>
      <c r="B317" s="181">
        <f>INDEX(Data[FY2026 Budget Enrollment],MATCH(A317,Data[Label],0))+INDEX(Data[FY2026 ESA],MATCH(A317,Data[Label],0))</f>
        <v>784.6</v>
      </c>
      <c r="C317" s="91">
        <f>INDEX(Data[FY2026 TSS],MATCH(A317,Data[Label],0))</f>
        <v>1049.01</v>
      </c>
      <c r="D317" s="91">
        <f>INDEX(Data[FY2026 PD],MATCH(A317,Data[Label],0))</f>
        <v>85.36</v>
      </c>
      <c r="E317" s="91">
        <f>INDEX(Data[FY2026 Early Intervention],MATCH(A317,Data[Label],0))</f>
        <v>72.31</v>
      </c>
      <c r="F317" s="91">
        <f>INDEX(Data[FY2026 TLC],MATCH(A317,Data[Label],0))</f>
        <v>385.29</v>
      </c>
      <c r="G317" s="182">
        <f t="shared" si="329"/>
        <v>823053</v>
      </c>
      <c r="H317" s="182">
        <f t="shared" si="330"/>
        <v>66973</v>
      </c>
      <c r="I317" s="182">
        <f t="shared" si="331"/>
        <v>56734</v>
      </c>
      <c r="J317" s="182">
        <f t="shared" si="332"/>
        <v>302299</v>
      </c>
      <c r="K317" s="182">
        <f>INDEX(Data[FY2026 TSS Budget Guarantee],MATCH(A317,Data[Label],0))+INDEX(Data[FY2026 PD Budget Guarantee],MATCH(A317,Data[Label],0))+INDEX(Data[FY2026 Early Intervention Budget Guarantee],MATCH(A317,Data[Label],0))+INDEX(Data[FY2026 TLC Budget Gurantee],MATCH(A317,Data[Label],0))</f>
        <v>0</v>
      </c>
      <c r="L317" s="182">
        <f t="shared" si="333"/>
        <v>1249059</v>
      </c>
      <c r="M317" s="181">
        <f>INDEX(Data[FY2027 Budget Enrollment],MATCH(A317,Data[Label],0))+INDEX(Data[FY2027 ESAs],MATCH(A317,Data[Label],0))</f>
        <v>793.4</v>
      </c>
      <c r="N317" s="91">
        <f t="shared" si="334"/>
        <v>1062.7</v>
      </c>
      <c r="O317" s="91">
        <f t="shared" si="335"/>
        <v>86.91</v>
      </c>
      <c r="P317" s="91">
        <f t="shared" si="336"/>
        <v>74</v>
      </c>
      <c r="Q317" s="91">
        <f t="shared" si="337"/>
        <v>393</v>
      </c>
      <c r="R317" s="182">
        <f t="shared" si="345"/>
        <v>843146</v>
      </c>
      <c r="S317" s="182">
        <f t="shared" si="346"/>
        <v>68954</v>
      </c>
      <c r="T317" s="182">
        <f t="shared" si="347"/>
        <v>58712</v>
      </c>
      <c r="U317" s="182">
        <f t="shared" ref="U317" si="397">ROUND($M317*Q317,)</f>
        <v>311806</v>
      </c>
      <c r="V317" s="182">
        <f t="shared" si="339"/>
        <v>0</v>
      </c>
      <c r="W317" s="182">
        <f t="shared" si="340"/>
        <v>1282618</v>
      </c>
      <c r="X317" s="182">
        <f t="shared" si="341"/>
        <v>33559</v>
      </c>
      <c r="Y317" s="183">
        <f t="shared" si="342"/>
        <v>2.6867425798140842E-2</v>
      </c>
      <c r="Z317" s="184">
        <f t="shared" si="343"/>
        <v>8.7999999999999545</v>
      </c>
      <c r="AA317" s="185">
        <f t="shared" si="344"/>
        <v>1.1215906194239044E-2</v>
      </c>
    </row>
    <row r="318" spans="1:27" x14ac:dyDescent="0.55000000000000004">
      <c r="A318" s="230" t="s">
        <v>311</v>
      </c>
      <c r="B318" s="176">
        <f>INDEX(Data[FY2026 Budget Enrollment],MATCH(A318,Data[Label],0))+INDEX(Data[FY2026 ESA],MATCH(A318,Data[Label],0))</f>
        <v>595.9</v>
      </c>
      <c r="C318" s="218">
        <f>INDEX(Data[FY2026 TSS],MATCH(A318,Data[Label],0))</f>
        <v>1011.17</v>
      </c>
      <c r="D318" s="218">
        <f>INDEX(Data[FY2026 PD],MATCH(A318,Data[Label],0))</f>
        <v>71.89</v>
      </c>
      <c r="E318" s="218">
        <f>INDEX(Data[FY2026 Early Intervention],MATCH(A318,Data[Label],0))</f>
        <v>80.23</v>
      </c>
      <c r="F318" s="218">
        <f>INDEX(Data[FY2026 TLC],MATCH(A318,Data[Label],0))</f>
        <v>385.29</v>
      </c>
      <c r="G318" s="177">
        <f t="shared" si="329"/>
        <v>602556</v>
      </c>
      <c r="H318" s="177">
        <f t="shared" si="330"/>
        <v>42839</v>
      </c>
      <c r="I318" s="177">
        <f t="shared" si="331"/>
        <v>47809</v>
      </c>
      <c r="J318" s="177">
        <f t="shared" si="332"/>
        <v>229594</v>
      </c>
      <c r="K318" s="177">
        <f>INDEX(Data[FY2026 TSS Budget Guarantee],MATCH(A318,Data[Label],0))+INDEX(Data[FY2026 PD Budget Guarantee],MATCH(A318,Data[Label],0))+INDEX(Data[FY2026 Early Intervention Budget Guarantee],MATCH(A318,Data[Label],0))+INDEX(Data[FY2026 TLC Budget Gurantee],MATCH(A318,Data[Label],0))</f>
        <v>0</v>
      </c>
      <c r="L318" s="177">
        <f t="shared" si="333"/>
        <v>922798</v>
      </c>
      <c r="M318" s="176">
        <f>INDEX(Data[FY2027 Budget Enrollment],MATCH(A318,Data[Label],0))+INDEX(Data[FY2027 ESAs],MATCH(A318,Data[Label],0))</f>
        <v>607.9</v>
      </c>
      <c r="N318" s="218">
        <f t="shared" si="334"/>
        <v>1024.8599999999999</v>
      </c>
      <c r="O318" s="218">
        <f t="shared" si="335"/>
        <v>73.44</v>
      </c>
      <c r="P318" s="218">
        <f t="shared" si="336"/>
        <v>81.92</v>
      </c>
      <c r="Q318" s="218">
        <f t="shared" si="337"/>
        <v>393</v>
      </c>
      <c r="R318" s="177">
        <f t="shared" si="345"/>
        <v>623012</v>
      </c>
      <c r="S318" s="177">
        <f t="shared" si="346"/>
        <v>44644</v>
      </c>
      <c r="T318" s="177">
        <f t="shared" si="347"/>
        <v>49799</v>
      </c>
      <c r="U318" s="177">
        <f t="shared" ref="U318" si="398">ROUND($M318*Q318,0)</f>
        <v>238905</v>
      </c>
      <c r="V318" s="177">
        <f t="shared" si="339"/>
        <v>0</v>
      </c>
      <c r="W318" s="177">
        <f t="shared" si="340"/>
        <v>956360</v>
      </c>
      <c r="X318" s="177">
        <f t="shared" si="341"/>
        <v>33562</v>
      </c>
      <c r="Y318" s="178">
        <f t="shared" si="342"/>
        <v>3.6369823081541137E-2</v>
      </c>
      <c r="Z318" s="179">
        <f t="shared" si="343"/>
        <v>12</v>
      </c>
      <c r="AA318" s="180">
        <f t="shared" si="344"/>
        <v>2.0137606981037087E-2</v>
      </c>
    </row>
    <row r="319" spans="1:27" x14ac:dyDescent="0.55000000000000004">
      <c r="A319" s="229" t="s">
        <v>312</v>
      </c>
      <c r="B319" s="181">
        <f>INDEX(Data[FY2026 Budget Enrollment],MATCH(A319,Data[Label],0))+INDEX(Data[FY2026 ESA],MATCH(A319,Data[Label],0))</f>
        <v>335.1</v>
      </c>
      <c r="C319" s="91">
        <f>INDEX(Data[FY2026 TSS],MATCH(A319,Data[Label],0))</f>
        <v>1205.9000000000001</v>
      </c>
      <c r="D319" s="91">
        <f>INDEX(Data[FY2026 PD],MATCH(A319,Data[Label],0))</f>
        <v>76.98</v>
      </c>
      <c r="E319" s="91">
        <f>INDEX(Data[FY2026 Early Intervention],MATCH(A319,Data[Label],0))</f>
        <v>67.760000000000005</v>
      </c>
      <c r="F319" s="91">
        <f>INDEX(Data[FY2026 TLC],MATCH(A319,Data[Label],0))</f>
        <v>385.29</v>
      </c>
      <c r="G319" s="182">
        <f t="shared" si="329"/>
        <v>404097</v>
      </c>
      <c r="H319" s="182">
        <f t="shared" si="330"/>
        <v>25796</v>
      </c>
      <c r="I319" s="182">
        <f t="shared" si="331"/>
        <v>22706</v>
      </c>
      <c r="J319" s="182">
        <f t="shared" si="332"/>
        <v>129111</v>
      </c>
      <c r="K319" s="182">
        <f>INDEX(Data[FY2026 TSS Budget Guarantee],MATCH(A319,Data[Label],0))+INDEX(Data[FY2026 PD Budget Guarantee],MATCH(A319,Data[Label],0))+INDEX(Data[FY2026 Early Intervention Budget Guarantee],MATCH(A319,Data[Label],0))+INDEX(Data[FY2026 TLC Budget Gurantee],MATCH(A319,Data[Label],0))</f>
        <v>4505</v>
      </c>
      <c r="L319" s="182">
        <f t="shared" si="333"/>
        <v>586215</v>
      </c>
      <c r="M319" s="181">
        <f>INDEX(Data[FY2027 Budget Enrollment],MATCH(A319,Data[Label],0))+INDEX(Data[FY2027 ESAs],MATCH(A319,Data[Label],0))</f>
        <v>343</v>
      </c>
      <c r="N319" s="91">
        <f t="shared" si="334"/>
        <v>1219.5900000000001</v>
      </c>
      <c r="O319" s="91">
        <f t="shared" si="335"/>
        <v>78.53</v>
      </c>
      <c r="P319" s="91">
        <f t="shared" si="336"/>
        <v>69.45</v>
      </c>
      <c r="Q319" s="91">
        <f t="shared" si="337"/>
        <v>393</v>
      </c>
      <c r="R319" s="182">
        <f t="shared" si="345"/>
        <v>418319</v>
      </c>
      <c r="S319" s="182">
        <f t="shared" si="346"/>
        <v>26936</v>
      </c>
      <c r="T319" s="182">
        <f t="shared" si="347"/>
        <v>23821</v>
      </c>
      <c r="U319" s="182">
        <f t="shared" ref="U319" si="399">ROUND($M319*Q319,)</f>
        <v>134799</v>
      </c>
      <c r="V319" s="182">
        <f t="shared" si="339"/>
        <v>0</v>
      </c>
      <c r="W319" s="182">
        <f t="shared" si="340"/>
        <v>603875</v>
      </c>
      <c r="X319" s="182">
        <f t="shared" si="341"/>
        <v>17660</v>
      </c>
      <c r="Y319" s="183">
        <f t="shared" si="342"/>
        <v>3.0125465912677091E-2</v>
      </c>
      <c r="Z319" s="184">
        <f t="shared" si="343"/>
        <v>7.8999999999999773</v>
      </c>
      <c r="AA319" s="185">
        <f t="shared" si="344"/>
        <v>2.3575052223216882E-2</v>
      </c>
    </row>
    <row r="320" spans="1:27" x14ac:dyDescent="0.55000000000000004">
      <c r="A320" s="230" t="s">
        <v>313</v>
      </c>
      <c r="B320" s="176">
        <f>INDEX(Data[FY2026 Budget Enrollment],MATCH(A320,Data[Label],0))+INDEX(Data[FY2026 ESA],MATCH(A320,Data[Label],0))</f>
        <v>1243.0999999999999</v>
      </c>
      <c r="C320" s="218">
        <f>INDEX(Data[FY2026 TSS],MATCH(A320,Data[Label],0))</f>
        <v>1015.44</v>
      </c>
      <c r="D320" s="218">
        <f>INDEX(Data[FY2026 PD],MATCH(A320,Data[Label],0))</f>
        <v>73.13</v>
      </c>
      <c r="E320" s="218">
        <f>INDEX(Data[FY2026 Early Intervention],MATCH(A320,Data[Label],0))</f>
        <v>93.57</v>
      </c>
      <c r="F320" s="218">
        <f>INDEX(Data[FY2026 TLC],MATCH(A320,Data[Label],0))</f>
        <v>385.29</v>
      </c>
      <c r="G320" s="177">
        <f t="shared" si="329"/>
        <v>1262293</v>
      </c>
      <c r="H320" s="177">
        <f t="shared" si="330"/>
        <v>90908</v>
      </c>
      <c r="I320" s="177">
        <f t="shared" si="331"/>
        <v>116317</v>
      </c>
      <c r="J320" s="177">
        <f t="shared" si="332"/>
        <v>478954</v>
      </c>
      <c r="K320" s="177">
        <f>INDEX(Data[FY2026 TSS Budget Guarantee],MATCH(A320,Data[Label],0))+INDEX(Data[FY2026 PD Budget Guarantee],MATCH(A320,Data[Label],0))+INDEX(Data[FY2026 Early Intervention Budget Guarantee],MATCH(A320,Data[Label],0))+INDEX(Data[FY2026 TLC Budget Gurantee],MATCH(A320,Data[Label],0))</f>
        <v>0</v>
      </c>
      <c r="L320" s="177">
        <f t="shared" si="333"/>
        <v>1948472</v>
      </c>
      <c r="M320" s="176">
        <f>INDEX(Data[FY2027 Budget Enrollment],MATCH(A320,Data[Label],0))+INDEX(Data[FY2027 ESAs],MATCH(A320,Data[Label],0))</f>
        <v>1244.0999999999999</v>
      </c>
      <c r="N320" s="218">
        <f t="shared" si="334"/>
        <v>1029.1300000000001</v>
      </c>
      <c r="O320" s="218">
        <f t="shared" si="335"/>
        <v>74.679999999999993</v>
      </c>
      <c r="P320" s="218">
        <f t="shared" si="336"/>
        <v>95.259999999999991</v>
      </c>
      <c r="Q320" s="218">
        <f t="shared" si="337"/>
        <v>393</v>
      </c>
      <c r="R320" s="177">
        <f t="shared" si="345"/>
        <v>1280341</v>
      </c>
      <c r="S320" s="177">
        <f t="shared" si="346"/>
        <v>92909</v>
      </c>
      <c r="T320" s="177">
        <f t="shared" si="347"/>
        <v>118513</v>
      </c>
      <c r="U320" s="177">
        <f t="shared" ref="U320" si="400">ROUND($M320*Q320,0)</f>
        <v>488931</v>
      </c>
      <c r="V320" s="177">
        <f t="shared" si="339"/>
        <v>0</v>
      </c>
      <c r="W320" s="177">
        <f t="shared" si="340"/>
        <v>1980694</v>
      </c>
      <c r="X320" s="177">
        <f t="shared" si="341"/>
        <v>32222</v>
      </c>
      <c r="Y320" s="178">
        <f t="shared" si="342"/>
        <v>1.6537060835362275E-2</v>
      </c>
      <c r="Z320" s="179">
        <f t="shared" si="343"/>
        <v>1</v>
      </c>
      <c r="AA320" s="180">
        <f t="shared" si="344"/>
        <v>8.0444051162416547E-4</v>
      </c>
    </row>
    <row r="321" spans="1:27" x14ac:dyDescent="0.55000000000000004">
      <c r="A321" s="229" t="s">
        <v>314</v>
      </c>
      <c r="B321" s="181">
        <f>INDEX(Data[FY2026 Budget Enrollment],MATCH(A321,Data[Label],0))+INDEX(Data[FY2026 ESA],MATCH(A321,Data[Label],0))</f>
        <v>1084.4000000000001</v>
      </c>
      <c r="C321" s="91">
        <f>INDEX(Data[FY2026 TSS],MATCH(A321,Data[Label],0))</f>
        <v>834.49</v>
      </c>
      <c r="D321" s="91">
        <f>INDEX(Data[FY2026 PD],MATCH(A321,Data[Label],0))</f>
        <v>73.25</v>
      </c>
      <c r="E321" s="91">
        <f>INDEX(Data[FY2026 Early Intervention],MATCH(A321,Data[Label],0))</f>
        <v>75.510000000000005</v>
      </c>
      <c r="F321" s="91">
        <f>INDEX(Data[FY2026 TLC],MATCH(A321,Data[Label],0))</f>
        <v>385.29</v>
      </c>
      <c r="G321" s="182">
        <f t="shared" si="329"/>
        <v>904921</v>
      </c>
      <c r="H321" s="182">
        <f t="shared" si="330"/>
        <v>79432</v>
      </c>
      <c r="I321" s="182">
        <f t="shared" si="331"/>
        <v>81883</v>
      </c>
      <c r="J321" s="182">
        <f t="shared" si="332"/>
        <v>417808</v>
      </c>
      <c r="K321" s="182">
        <f>INDEX(Data[FY2026 TSS Budget Guarantee],MATCH(A321,Data[Label],0))+INDEX(Data[FY2026 PD Budget Guarantee],MATCH(A321,Data[Label],0))+INDEX(Data[FY2026 Early Intervention Budget Guarantee],MATCH(A321,Data[Label],0))+INDEX(Data[FY2026 TLC Budget Gurantee],MATCH(A321,Data[Label],0))</f>
        <v>0</v>
      </c>
      <c r="L321" s="182">
        <f t="shared" si="333"/>
        <v>1484044</v>
      </c>
      <c r="M321" s="181">
        <f>INDEX(Data[FY2027 Budget Enrollment],MATCH(A321,Data[Label],0))+INDEX(Data[FY2027 ESAs],MATCH(A321,Data[Label],0))</f>
        <v>1091.2</v>
      </c>
      <c r="N321" s="91">
        <f t="shared" si="334"/>
        <v>848.18000000000006</v>
      </c>
      <c r="O321" s="91">
        <f t="shared" si="335"/>
        <v>74.8</v>
      </c>
      <c r="P321" s="91">
        <f t="shared" si="336"/>
        <v>77.2</v>
      </c>
      <c r="Q321" s="91">
        <f t="shared" si="337"/>
        <v>393</v>
      </c>
      <c r="R321" s="182">
        <f t="shared" si="345"/>
        <v>925534</v>
      </c>
      <c r="S321" s="182">
        <f t="shared" si="346"/>
        <v>81622</v>
      </c>
      <c r="T321" s="182">
        <f t="shared" si="347"/>
        <v>84241</v>
      </c>
      <c r="U321" s="182">
        <f t="shared" ref="U321" si="401">ROUND($M321*Q321,)</f>
        <v>428842</v>
      </c>
      <c r="V321" s="182">
        <f t="shared" si="339"/>
        <v>0</v>
      </c>
      <c r="W321" s="182">
        <f t="shared" si="340"/>
        <v>1520239</v>
      </c>
      <c r="X321" s="182">
        <f t="shared" si="341"/>
        <v>36195</v>
      </c>
      <c r="Y321" s="183">
        <f t="shared" si="342"/>
        <v>2.4389438588074207E-2</v>
      </c>
      <c r="Z321" s="184">
        <f t="shared" si="343"/>
        <v>6.7999999999999545</v>
      </c>
      <c r="AA321" s="185">
        <f t="shared" si="344"/>
        <v>6.2707488011803335E-3</v>
      </c>
    </row>
    <row r="322" spans="1:27" x14ac:dyDescent="0.55000000000000004">
      <c r="A322" s="230" t="s">
        <v>315</v>
      </c>
      <c r="B322" s="176">
        <f>INDEX(Data[FY2026 Budget Enrollment],MATCH(A322,Data[Label],0))+INDEX(Data[FY2026 ESA],MATCH(A322,Data[Label],0))</f>
        <v>734.5</v>
      </c>
      <c r="C322" s="218">
        <f>INDEX(Data[FY2026 TSS],MATCH(A322,Data[Label],0))</f>
        <v>961.32</v>
      </c>
      <c r="D322" s="218">
        <f>INDEX(Data[FY2026 PD],MATCH(A322,Data[Label],0))</f>
        <v>68.53</v>
      </c>
      <c r="E322" s="218">
        <f>INDEX(Data[FY2026 Early Intervention],MATCH(A322,Data[Label],0))</f>
        <v>82.75</v>
      </c>
      <c r="F322" s="218">
        <f>INDEX(Data[FY2026 TLC],MATCH(A322,Data[Label],0))</f>
        <v>385.29</v>
      </c>
      <c r="G322" s="177">
        <f t="shared" si="329"/>
        <v>706090</v>
      </c>
      <c r="H322" s="177">
        <f t="shared" si="330"/>
        <v>50335</v>
      </c>
      <c r="I322" s="177">
        <f t="shared" si="331"/>
        <v>60780</v>
      </c>
      <c r="J322" s="177">
        <f t="shared" si="332"/>
        <v>282996</v>
      </c>
      <c r="K322" s="177">
        <f>INDEX(Data[FY2026 TSS Budget Guarantee],MATCH(A322,Data[Label],0))+INDEX(Data[FY2026 PD Budget Guarantee],MATCH(A322,Data[Label],0))+INDEX(Data[FY2026 Early Intervention Budget Guarantee],MATCH(A322,Data[Label],0))+INDEX(Data[FY2026 TLC Budget Gurantee],MATCH(A322,Data[Label],0))</f>
        <v>6369</v>
      </c>
      <c r="L322" s="177">
        <f t="shared" si="333"/>
        <v>1106570</v>
      </c>
      <c r="M322" s="176">
        <f>INDEX(Data[FY2027 Budget Enrollment],MATCH(A322,Data[Label],0))+INDEX(Data[FY2027 ESAs],MATCH(A322,Data[Label],0))</f>
        <v>713.9</v>
      </c>
      <c r="N322" s="218">
        <f t="shared" si="334"/>
        <v>975.0100000000001</v>
      </c>
      <c r="O322" s="218">
        <f t="shared" si="335"/>
        <v>70.08</v>
      </c>
      <c r="P322" s="218">
        <f t="shared" si="336"/>
        <v>84.44</v>
      </c>
      <c r="Q322" s="218">
        <f t="shared" si="337"/>
        <v>393</v>
      </c>
      <c r="R322" s="177">
        <f t="shared" si="345"/>
        <v>696060</v>
      </c>
      <c r="S322" s="177">
        <f t="shared" si="346"/>
        <v>50030</v>
      </c>
      <c r="T322" s="177">
        <f t="shared" si="347"/>
        <v>60282</v>
      </c>
      <c r="U322" s="177">
        <f t="shared" ref="U322" si="402">ROUND($M322*Q322,0)</f>
        <v>280563</v>
      </c>
      <c r="V322" s="177">
        <f t="shared" si="339"/>
        <v>13266</v>
      </c>
      <c r="W322" s="177">
        <f t="shared" si="340"/>
        <v>1100201</v>
      </c>
      <c r="X322" s="177">
        <f t="shared" si="341"/>
        <v>-6369</v>
      </c>
      <c r="Y322" s="178">
        <f t="shared" si="342"/>
        <v>-5.7556232321497964E-3</v>
      </c>
      <c r="Z322" s="179">
        <f t="shared" si="343"/>
        <v>-20.600000000000023</v>
      </c>
      <c r="AA322" s="180">
        <f t="shared" si="344"/>
        <v>-2.8046289993192679E-2</v>
      </c>
    </row>
    <row r="323" spans="1:27" x14ac:dyDescent="0.55000000000000004">
      <c r="A323" s="229" t="s">
        <v>316</v>
      </c>
      <c r="B323" s="181">
        <f>INDEX(Data[FY2026 Budget Enrollment],MATCH(A323,Data[Label],0))+INDEX(Data[FY2026 ESA],MATCH(A323,Data[Label],0))</f>
        <v>573.9</v>
      </c>
      <c r="C323" s="91">
        <f>INDEX(Data[FY2026 TSS],MATCH(A323,Data[Label],0))</f>
        <v>1229.0999999999999</v>
      </c>
      <c r="D323" s="91">
        <f>INDEX(Data[FY2026 PD],MATCH(A323,Data[Label],0))</f>
        <v>75.48</v>
      </c>
      <c r="E323" s="91">
        <f>INDEX(Data[FY2026 Early Intervention],MATCH(A323,Data[Label],0))</f>
        <v>81.010000000000005</v>
      </c>
      <c r="F323" s="91">
        <f>INDEX(Data[FY2026 TLC],MATCH(A323,Data[Label],0))</f>
        <v>385.29</v>
      </c>
      <c r="G323" s="182">
        <f t="shared" si="329"/>
        <v>705380</v>
      </c>
      <c r="H323" s="182">
        <f t="shared" si="330"/>
        <v>43318</v>
      </c>
      <c r="I323" s="182">
        <f t="shared" si="331"/>
        <v>46492</v>
      </c>
      <c r="J323" s="182">
        <f t="shared" si="332"/>
        <v>221118</v>
      </c>
      <c r="K323" s="182">
        <f>INDEX(Data[FY2026 TSS Budget Guarantee],MATCH(A323,Data[Label],0))+INDEX(Data[FY2026 PD Budget Guarantee],MATCH(A323,Data[Label],0))+INDEX(Data[FY2026 Early Intervention Budget Guarantee],MATCH(A323,Data[Label],0))+INDEX(Data[FY2026 TLC Budget Gurantee],MATCH(A323,Data[Label],0))</f>
        <v>0</v>
      </c>
      <c r="L323" s="182">
        <f t="shared" si="333"/>
        <v>1016308</v>
      </c>
      <c r="M323" s="181">
        <f>INDEX(Data[FY2027 Budget Enrollment],MATCH(A323,Data[Label],0))+INDEX(Data[FY2027 ESAs],MATCH(A323,Data[Label],0))</f>
        <v>568.20000000000005</v>
      </c>
      <c r="N323" s="91">
        <f t="shared" si="334"/>
        <v>1242.79</v>
      </c>
      <c r="O323" s="91">
        <f t="shared" si="335"/>
        <v>77.03</v>
      </c>
      <c r="P323" s="91">
        <f t="shared" si="336"/>
        <v>82.7</v>
      </c>
      <c r="Q323" s="91">
        <f t="shared" si="337"/>
        <v>393</v>
      </c>
      <c r="R323" s="182">
        <f t="shared" si="345"/>
        <v>706153</v>
      </c>
      <c r="S323" s="182">
        <f t="shared" si="346"/>
        <v>43768</v>
      </c>
      <c r="T323" s="182">
        <f t="shared" si="347"/>
        <v>46990</v>
      </c>
      <c r="U323" s="182">
        <f t="shared" ref="U323" si="403">ROUND($M323*Q323,)</f>
        <v>223303</v>
      </c>
      <c r="V323" s="182">
        <f t="shared" si="339"/>
        <v>0</v>
      </c>
      <c r="W323" s="182">
        <f t="shared" si="340"/>
        <v>1020214</v>
      </c>
      <c r="X323" s="182">
        <f t="shared" si="341"/>
        <v>3906</v>
      </c>
      <c r="Y323" s="183">
        <f t="shared" si="342"/>
        <v>3.8433230870956441E-3</v>
      </c>
      <c r="Z323" s="184">
        <f t="shared" si="343"/>
        <v>-5.6999999999999318</v>
      </c>
      <c r="AA323" s="185">
        <f t="shared" si="344"/>
        <v>-9.9320439100887472E-3</v>
      </c>
    </row>
    <row r="324" spans="1:27" x14ac:dyDescent="0.55000000000000004">
      <c r="A324" s="230" t="s">
        <v>317</v>
      </c>
      <c r="B324" s="176">
        <f>INDEX(Data[FY2026 Budget Enrollment],MATCH(A324,Data[Label],0))+INDEX(Data[FY2026 ESA],MATCH(A324,Data[Label],0))</f>
        <v>814.1</v>
      </c>
      <c r="C324" s="218">
        <f>INDEX(Data[FY2026 TSS],MATCH(A324,Data[Label],0))</f>
        <v>1045.5</v>
      </c>
      <c r="D324" s="218">
        <f>INDEX(Data[FY2026 PD],MATCH(A324,Data[Label],0))</f>
        <v>82.18</v>
      </c>
      <c r="E324" s="218">
        <f>INDEX(Data[FY2026 Early Intervention],MATCH(A324,Data[Label],0))</f>
        <v>85.42</v>
      </c>
      <c r="F324" s="218">
        <f>INDEX(Data[FY2026 TLC],MATCH(A324,Data[Label],0))</f>
        <v>385.29</v>
      </c>
      <c r="G324" s="177">
        <f t="shared" si="329"/>
        <v>851142</v>
      </c>
      <c r="H324" s="177">
        <f t="shared" si="330"/>
        <v>66903</v>
      </c>
      <c r="I324" s="177">
        <f t="shared" si="331"/>
        <v>69540</v>
      </c>
      <c r="J324" s="177">
        <f t="shared" si="332"/>
        <v>313665</v>
      </c>
      <c r="K324" s="177">
        <f>INDEX(Data[FY2026 TSS Budget Guarantee],MATCH(A324,Data[Label],0))+INDEX(Data[FY2026 PD Budget Guarantee],MATCH(A324,Data[Label],0))+INDEX(Data[FY2026 Early Intervention Budget Guarantee],MATCH(A324,Data[Label],0))+INDEX(Data[FY2026 TLC Budget Gurantee],MATCH(A324,Data[Label],0))</f>
        <v>0</v>
      </c>
      <c r="L324" s="177">
        <f t="shared" si="333"/>
        <v>1301250</v>
      </c>
      <c r="M324" s="176">
        <f>INDEX(Data[FY2027 Budget Enrollment],MATCH(A324,Data[Label],0))+INDEX(Data[FY2027 ESAs],MATCH(A324,Data[Label],0))</f>
        <v>809.5</v>
      </c>
      <c r="N324" s="218">
        <f t="shared" si="334"/>
        <v>1059.19</v>
      </c>
      <c r="O324" s="218">
        <f t="shared" si="335"/>
        <v>83.73</v>
      </c>
      <c r="P324" s="218">
        <f t="shared" si="336"/>
        <v>87.11</v>
      </c>
      <c r="Q324" s="218">
        <f t="shared" si="337"/>
        <v>393</v>
      </c>
      <c r="R324" s="177">
        <f t="shared" si="345"/>
        <v>857414</v>
      </c>
      <c r="S324" s="177">
        <f t="shared" si="346"/>
        <v>67779</v>
      </c>
      <c r="T324" s="177">
        <f t="shared" si="347"/>
        <v>70516</v>
      </c>
      <c r="U324" s="177">
        <f t="shared" ref="U324" si="404">ROUND($M324*Q324,0)</f>
        <v>318134</v>
      </c>
      <c r="V324" s="177">
        <f t="shared" si="339"/>
        <v>0</v>
      </c>
      <c r="W324" s="177">
        <f t="shared" si="340"/>
        <v>1313843</v>
      </c>
      <c r="X324" s="177">
        <f t="shared" si="341"/>
        <v>12593</v>
      </c>
      <c r="Y324" s="178">
        <f t="shared" si="342"/>
        <v>9.6776176753121997E-3</v>
      </c>
      <c r="Z324" s="179">
        <f t="shared" si="343"/>
        <v>-4.6000000000000227</v>
      </c>
      <c r="AA324" s="180">
        <f t="shared" si="344"/>
        <v>-5.6504114973590742E-3</v>
      </c>
    </row>
    <row r="325" spans="1:27" x14ac:dyDescent="0.55000000000000004">
      <c r="A325" s="229" t="s">
        <v>318</v>
      </c>
      <c r="B325" s="181">
        <f>INDEX(Data[FY2026 Budget Enrollment],MATCH(A325,Data[Label],0))+INDEX(Data[FY2026 ESA],MATCH(A325,Data[Label],0))</f>
        <v>3857.6</v>
      </c>
      <c r="C325" s="91">
        <f>INDEX(Data[FY2026 TSS],MATCH(A325,Data[Label],0))</f>
        <v>798.91</v>
      </c>
      <c r="D325" s="91">
        <f>INDEX(Data[FY2026 PD],MATCH(A325,Data[Label],0))</f>
        <v>75.75</v>
      </c>
      <c r="E325" s="91">
        <f>INDEX(Data[FY2026 Early Intervention],MATCH(A325,Data[Label],0))</f>
        <v>78.760000000000005</v>
      </c>
      <c r="F325" s="91">
        <f>INDEX(Data[FY2026 TLC],MATCH(A325,Data[Label],0))</f>
        <v>385.29</v>
      </c>
      <c r="G325" s="182">
        <f t="shared" si="329"/>
        <v>3081875</v>
      </c>
      <c r="H325" s="182">
        <f t="shared" si="330"/>
        <v>292213</v>
      </c>
      <c r="I325" s="182">
        <f t="shared" si="331"/>
        <v>303825</v>
      </c>
      <c r="J325" s="182">
        <f t="shared" si="332"/>
        <v>1486295</v>
      </c>
      <c r="K325" s="182">
        <f>INDEX(Data[FY2026 TSS Budget Guarantee],MATCH(A325,Data[Label],0))+INDEX(Data[FY2026 PD Budget Guarantee],MATCH(A325,Data[Label],0))+INDEX(Data[FY2026 Early Intervention Budget Guarantee],MATCH(A325,Data[Label],0))+INDEX(Data[FY2026 TLC Budget Gurantee],MATCH(A325,Data[Label],0))</f>
        <v>0</v>
      </c>
      <c r="L325" s="182">
        <f t="shared" si="333"/>
        <v>5164208</v>
      </c>
      <c r="M325" s="181">
        <f>INDEX(Data[FY2027 Budget Enrollment],MATCH(A325,Data[Label],0))+INDEX(Data[FY2027 ESAs],MATCH(A325,Data[Label],0))</f>
        <v>4161</v>
      </c>
      <c r="N325" s="91">
        <f t="shared" si="334"/>
        <v>812.6</v>
      </c>
      <c r="O325" s="91">
        <f t="shared" si="335"/>
        <v>77.3</v>
      </c>
      <c r="P325" s="91">
        <f t="shared" si="336"/>
        <v>80.45</v>
      </c>
      <c r="Q325" s="91">
        <f t="shared" si="337"/>
        <v>393</v>
      </c>
      <c r="R325" s="182">
        <f t="shared" si="345"/>
        <v>3381229</v>
      </c>
      <c r="S325" s="182">
        <f t="shared" si="346"/>
        <v>321645</v>
      </c>
      <c r="T325" s="182">
        <f t="shared" si="347"/>
        <v>334752</v>
      </c>
      <c r="U325" s="182">
        <f t="shared" ref="U325" si="405">ROUND($M325*Q325,)</f>
        <v>1635273</v>
      </c>
      <c r="V325" s="182">
        <f t="shared" si="339"/>
        <v>0</v>
      </c>
      <c r="W325" s="182">
        <f t="shared" si="340"/>
        <v>5672899</v>
      </c>
      <c r="X325" s="182">
        <f t="shared" si="341"/>
        <v>508691</v>
      </c>
      <c r="Y325" s="183">
        <f t="shared" si="342"/>
        <v>9.8503197392514008E-2</v>
      </c>
      <c r="Z325" s="184">
        <f t="shared" si="343"/>
        <v>303.40000000000009</v>
      </c>
      <c r="AA325" s="185">
        <f t="shared" si="344"/>
        <v>7.8649937785151419E-2</v>
      </c>
    </row>
    <row r="326" spans="1:27" x14ac:dyDescent="0.55000000000000004">
      <c r="A326" s="230" t="s">
        <v>319</v>
      </c>
      <c r="B326" s="176">
        <f>INDEX(Data[FY2026 Budget Enrollment],MATCH(A326,Data[Label],0))+INDEX(Data[FY2026 ESA],MATCH(A326,Data[Label],0))</f>
        <v>504.9</v>
      </c>
      <c r="C326" s="218">
        <f>INDEX(Data[FY2026 TSS],MATCH(A326,Data[Label],0))</f>
        <v>1062.17</v>
      </c>
      <c r="D326" s="218">
        <f>INDEX(Data[FY2026 PD],MATCH(A326,Data[Label],0))</f>
        <v>82.84</v>
      </c>
      <c r="E326" s="218">
        <f>INDEX(Data[FY2026 Early Intervention],MATCH(A326,Data[Label],0))</f>
        <v>82.73</v>
      </c>
      <c r="F326" s="218">
        <f>INDEX(Data[FY2026 TLC],MATCH(A326,Data[Label],0))</f>
        <v>385.29</v>
      </c>
      <c r="G326" s="177">
        <f t="shared" si="329"/>
        <v>536290</v>
      </c>
      <c r="H326" s="177">
        <f t="shared" si="330"/>
        <v>41826</v>
      </c>
      <c r="I326" s="177">
        <f t="shared" si="331"/>
        <v>41770</v>
      </c>
      <c r="J326" s="177">
        <f t="shared" si="332"/>
        <v>194533</v>
      </c>
      <c r="K326" s="177">
        <f>INDEX(Data[FY2026 TSS Budget Guarantee],MATCH(A326,Data[Label],0))+INDEX(Data[FY2026 PD Budget Guarantee],MATCH(A326,Data[Label],0))+INDEX(Data[FY2026 Early Intervention Budget Guarantee],MATCH(A326,Data[Label],0))+INDEX(Data[FY2026 TLC Budget Gurantee],MATCH(A326,Data[Label],0))</f>
        <v>12407</v>
      </c>
      <c r="L326" s="177">
        <f t="shared" si="333"/>
        <v>826826</v>
      </c>
      <c r="M326" s="176">
        <f>INDEX(Data[FY2027 Budget Enrollment],MATCH(A326,Data[Label],0))+INDEX(Data[FY2027 ESAs],MATCH(A326,Data[Label],0))</f>
        <v>504.5</v>
      </c>
      <c r="N326" s="218">
        <f t="shared" si="334"/>
        <v>1075.8600000000001</v>
      </c>
      <c r="O326" s="218">
        <f t="shared" si="335"/>
        <v>84.39</v>
      </c>
      <c r="P326" s="218">
        <f t="shared" si="336"/>
        <v>84.42</v>
      </c>
      <c r="Q326" s="218">
        <f t="shared" si="337"/>
        <v>393</v>
      </c>
      <c r="R326" s="177">
        <f t="shared" si="345"/>
        <v>542771</v>
      </c>
      <c r="S326" s="177">
        <f t="shared" si="346"/>
        <v>42575</v>
      </c>
      <c r="T326" s="177">
        <f t="shared" si="347"/>
        <v>42590</v>
      </c>
      <c r="U326" s="177">
        <f t="shared" ref="U326" si="406">ROUND($M326*Q326,0)</f>
        <v>198269</v>
      </c>
      <c r="V326" s="177">
        <f t="shared" si="339"/>
        <v>0</v>
      </c>
      <c r="W326" s="177">
        <f t="shared" si="340"/>
        <v>826205</v>
      </c>
      <c r="X326" s="177">
        <f t="shared" si="341"/>
        <v>-621</v>
      </c>
      <c r="Y326" s="178">
        <f t="shared" si="342"/>
        <v>-7.5106491571382613E-4</v>
      </c>
      <c r="Z326" s="179">
        <f t="shared" si="343"/>
        <v>-0.39999999999997726</v>
      </c>
      <c r="AA326" s="180">
        <f t="shared" si="344"/>
        <v>-7.922360863536884E-4</v>
      </c>
    </row>
    <row r="327" spans="1:27" x14ac:dyDescent="0.55000000000000004">
      <c r="A327" s="229" t="s">
        <v>320</v>
      </c>
      <c r="B327" s="181">
        <f>INDEX(Data[FY2026 Budget Enrollment],MATCH(A327,Data[Label],0))+INDEX(Data[FY2026 ESA],MATCH(A327,Data[Label],0))</f>
        <v>171.7</v>
      </c>
      <c r="C327" s="91">
        <f>INDEX(Data[FY2026 TSS],MATCH(A327,Data[Label],0))</f>
        <v>2021.45</v>
      </c>
      <c r="D327" s="91">
        <f>INDEX(Data[FY2026 PD],MATCH(A327,Data[Label],0))</f>
        <v>92.54</v>
      </c>
      <c r="E327" s="91">
        <f>INDEX(Data[FY2026 Early Intervention],MATCH(A327,Data[Label],0))</f>
        <v>101.75</v>
      </c>
      <c r="F327" s="91">
        <f>INDEX(Data[FY2026 TLC],MATCH(A327,Data[Label],0))</f>
        <v>385.29</v>
      </c>
      <c r="G327" s="182">
        <f t="shared" si="329"/>
        <v>347083</v>
      </c>
      <c r="H327" s="182">
        <f t="shared" si="330"/>
        <v>15889</v>
      </c>
      <c r="I327" s="182">
        <f t="shared" si="331"/>
        <v>17470</v>
      </c>
      <c r="J327" s="182">
        <f t="shared" si="332"/>
        <v>66154</v>
      </c>
      <c r="K327" s="182">
        <f>INDEX(Data[FY2026 TSS Budget Guarantee],MATCH(A327,Data[Label],0))+INDEX(Data[FY2026 PD Budget Guarantee],MATCH(A327,Data[Label],0))+INDEX(Data[FY2026 Early Intervention Budget Guarantee],MATCH(A327,Data[Label],0))+INDEX(Data[FY2026 TLC Budget Gurantee],MATCH(A327,Data[Label],0))</f>
        <v>10104</v>
      </c>
      <c r="L327" s="182">
        <f t="shared" si="333"/>
        <v>456700</v>
      </c>
      <c r="M327" s="181">
        <f>INDEX(Data[FY2027 Budget Enrollment],MATCH(A327,Data[Label],0))+INDEX(Data[FY2027 ESAs],MATCH(A327,Data[Label],0))</f>
        <v>159.4</v>
      </c>
      <c r="N327" s="91">
        <f t="shared" si="334"/>
        <v>2035.14</v>
      </c>
      <c r="O327" s="91">
        <f t="shared" si="335"/>
        <v>94.09</v>
      </c>
      <c r="P327" s="91">
        <f t="shared" si="336"/>
        <v>103.44</v>
      </c>
      <c r="Q327" s="91">
        <f t="shared" si="337"/>
        <v>393</v>
      </c>
      <c r="R327" s="182">
        <f t="shared" si="345"/>
        <v>324401</v>
      </c>
      <c r="S327" s="182">
        <f t="shared" si="346"/>
        <v>14998</v>
      </c>
      <c r="T327" s="182">
        <f t="shared" si="347"/>
        <v>16488</v>
      </c>
      <c r="U327" s="182">
        <f t="shared" ref="U327" si="407">ROUND($M327*Q327,)</f>
        <v>62644</v>
      </c>
      <c r="V327" s="182">
        <f t="shared" si="339"/>
        <v>28065</v>
      </c>
      <c r="W327" s="182">
        <f t="shared" si="340"/>
        <v>446596</v>
      </c>
      <c r="X327" s="182">
        <f t="shared" si="341"/>
        <v>-10104</v>
      </c>
      <c r="Y327" s="183">
        <f t="shared" si="342"/>
        <v>-2.2123932559667176E-2</v>
      </c>
      <c r="Z327" s="184">
        <f t="shared" si="343"/>
        <v>-12.299999999999983</v>
      </c>
      <c r="AA327" s="185">
        <f t="shared" si="344"/>
        <v>-7.1636575422248008E-2</v>
      </c>
    </row>
    <row r="328" spans="1:27" x14ac:dyDescent="0.55000000000000004">
      <c r="A328" s="230" t="s">
        <v>321</v>
      </c>
      <c r="B328" s="176">
        <f>INDEX(Data[FY2026 Budget Enrollment],MATCH(A328,Data[Label],0))+INDEX(Data[FY2026 ESA],MATCH(A328,Data[Label],0))</f>
        <v>1175.5</v>
      </c>
      <c r="C328" s="218">
        <f>INDEX(Data[FY2026 TSS],MATCH(A328,Data[Label],0))</f>
        <v>864.13</v>
      </c>
      <c r="D328" s="218">
        <f>INDEX(Data[FY2026 PD],MATCH(A328,Data[Label],0))</f>
        <v>75.38</v>
      </c>
      <c r="E328" s="218">
        <f>INDEX(Data[FY2026 Early Intervention],MATCH(A328,Data[Label],0))</f>
        <v>68.040000000000006</v>
      </c>
      <c r="F328" s="218">
        <f>INDEX(Data[FY2026 TLC],MATCH(A328,Data[Label],0))</f>
        <v>385.29</v>
      </c>
      <c r="G328" s="177">
        <f t="shared" si="329"/>
        <v>1015785</v>
      </c>
      <c r="H328" s="177">
        <f t="shared" si="330"/>
        <v>88609</v>
      </c>
      <c r="I328" s="177">
        <f t="shared" si="331"/>
        <v>79981</v>
      </c>
      <c r="J328" s="177">
        <f t="shared" si="332"/>
        <v>452908</v>
      </c>
      <c r="K328" s="177">
        <f>INDEX(Data[FY2026 TSS Budget Guarantee],MATCH(A328,Data[Label],0))+INDEX(Data[FY2026 PD Budget Guarantee],MATCH(A328,Data[Label],0))+INDEX(Data[FY2026 Early Intervention Budget Guarantee],MATCH(A328,Data[Label],0))+INDEX(Data[FY2026 TLC Budget Gurantee],MATCH(A328,Data[Label],0))</f>
        <v>0</v>
      </c>
      <c r="L328" s="177">
        <f t="shared" si="333"/>
        <v>1637283</v>
      </c>
      <c r="M328" s="176">
        <f>INDEX(Data[FY2027 Budget Enrollment],MATCH(A328,Data[Label],0))+INDEX(Data[FY2027 ESAs],MATCH(A328,Data[Label],0))</f>
        <v>1195.8</v>
      </c>
      <c r="N328" s="218">
        <f t="shared" si="334"/>
        <v>877.82</v>
      </c>
      <c r="O328" s="218">
        <f t="shared" si="335"/>
        <v>76.929999999999993</v>
      </c>
      <c r="P328" s="218">
        <f t="shared" si="336"/>
        <v>69.73</v>
      </c>
      <c r="Q328" s="218">
        <f t="shared" si="337"/>
        <v>393</v>
      </c>
      <c r="R328" s="177">
        <f t="shared" si="345"/>
        <v>1049697</v>
      </c>
      <c r="S328" s="177">
        <f t="shared" si="346"/>
        <v>91993</v>
      </c>
      <c r="T328" s="177">
        <f t="shared" si="347"/>
        <v>83383</v>
      </c>
      <c r="U328" s="177">
        <f t="shared" ref="U328" si="408">ROUND($M328*Q328,0)</f>
        <v>469949</v>
      </c>
      <c r="V328" s="177">
        <f t="shared" si="339"/>
        <v>0</v>
      </c>
      <c r="W328" s="177">
        <f t="shared" si="340"/>
        <v>1695022</v>
      </c>
      <c r="X328" s="177">
        <f t="shared" si="341"/>
        <v>57739</v>
      </c>
      <c r="Y328" s="178">
        <f t="shared" si="342"/>
        <v>3.526513131816552E-2</v>
      </c>
      <c r="Z328" s="179">
        <f t="shared" si="343"/>
        <v>20.299999999999955</v>
      </c>
      <c r="AA328" s="180">
        <f t="shared" si="344"/>
        <v>1.7269247128881289E-2</v>
      </c>
    </row>
    <row r="329" spans="1:27" x14ac:dyDescent="0.55000000000000004">
      <c r="A329" s="229" t="s">
        <v>322</v>
      </c>
      <c r="B329" s="181">
        <f>INDEX(Data[FY2026 Budget Enrollment],MATCH(A329,Data[Label],0))+INDEX(Data[FY2026 ESA],MATCH(A329,Data[Label],0))</f>
        <v>815.4</v>
      </c>
      <c r="C329" s="91">
        <f>INDEX(Data[FY2026 TSS],MATCH(A329,Data[Label],0))</f>
        <v>955.58</v>
      </c>
      <c r="D329" s="91">
        <f>INDEX(Data[FY2026 PD],MATCH(A329,Data[Label],0))</f>
        <v>78.290000000000006</v>
      </c>
      <c r="E329" s="91">
        <f>INDEX(Data[FY2026 Early Intervention],MATCH(A329,Data[Label],0))</f>
        <v>80.31</v>
      </c>
      <c r="F329" s="91">
        <f>INDEX(Data[FY2026 TLC],MATCH(A329,Data[Label],0))</f>
        <v>385.29</v>
      </c>
      <c r="G329" s="182">
        <f t="shared" si="329"/>
        <v>779180</v>
      </c>
      <c r="H329" s="182">
        <f t="shared" si="330"/>
        <v>63838</v>
      </c>
      <c r="I329" s="182">
        <f t="shared" si="331"/>
        <v>65485</v>
      </c>
      <c r="J329" s="182">
        <f t="shared" si="332"/>
        <v>314165</v>
      </c>
      <c r="K329" s="182">
        <f>INDEX(Data[FY2026 TSS Budget Guarantee],MATCH(A329,Data[Label],0))+INDEX(Data[FY2026 PD Budget Guarantee],MATCH(A329,Data[Label],0))+INDEX(Data[FY2026 Early Intervention Budget Guarantee],MATCH(A329,Data[Label],0))+INDEX(Data[FY2026 TLC Budget Gurantee],MATCH(A329,Data[Label],0))</f>
        <v>10498</v>
      </c>
      <c r="L329" s="182">
        <f t="shared" si="333"/>
        <v>1233166</v>
      </c>
      <c r="M329" s="181">
        <f>INDEX(Data[FY2027 Budget Enrollment],MATCH(A329,Data[Label],0))+INDEX(Data[FY2027 ESAs],MATCH(A329,Data[Label],0))</f>
        <v>779.2</v>
      </c>
      <c r="N329" s="91">
        <f t="shared" si="334"/>
        <v>969.2700000000001</v>
      </c>
      <c r="O329" s="91">
        <f t="shared" si="335"/>
        <v>79.84</v>
      </c>
      <c r="P329" s="91">
        <f t="shared" si="336"/>
        <v>82</v>
      </c>
      <c r="Q329" s="91">
        <f t="shared" si="337"/>
        <v>393</v>
      </c>
      <c r="R329" s="182">
        <f t="shared" si="345"/>
        <v>755255</v>
      </c>
      <c r="S329" s="182">
        <f t="shared" si="346"/>
        <v>62211</v>
      </c>
      <c r="T329" s="182">
        <f t="shared" si="347"/>
        <v>63894</v>
      </c>
      <c r="U329" s="182">
        <f t="shared" ref="U329" si="409">ROUND($M329*Q329,)</f>
        <v>306226</v>
      </c>
      <c r="V329" s="182">
        <f t="shared" si="339"/>
        <v>35082</v>
      </c>
      <c r="W329" s="182">
        <f t="shared" si="340"/>
        <v>1222668</v>
      </c>
      <c r="X329" s="182">
        <f t="shared" si="341"/>
        <v>-10498</v>
      </c>
      <c r="Y329" s="183">
        <f t="shared" si="342"/>
        <v>-8.5130469052828242E-3</v>
      </c>
      <c r="Z329" s="184">
        <f t="shared" si="343"/>
        <v>-36.199999999999932</v>
      </c>
      <c r="AA329" s="185">
        <f t="shared" si="344"/>
        <v>-4.4395388766249613E-2</v>
      </c>
    </row>
    <row r="330" spans="1:27" x14ac:dyDescent="0.55000000000000004">
      <c r="A330" s="230" t="s">
        <v>323</v>
      </c>
      <c r="B330" s="176">
        <f>INDEX(Data[FY2026 Budget Enrollment],MATCH(A330,Data[Label],0))+INDEX(Data[FY2026 ESA],MATCH(A330,Data[Label],0))</f>
        <v>302.60000000000002</v>
      </c>
      <c r="C330" s="218">
        <f>INDEX(Data[FY2026 TSS],MATCH(A330,Data[Label],0))</f>
        <v>1529.8</v>
      </c>
      <c r="D330" s="218">
        <f>INDEX(Data[FY2026 PD],MATCH(A330,Data[Label],0))</f>
        <v>77.75</v>
      </c>
      <c r="E330" s="218">
        <f>INDEX(Data[FY2026 Early Intervention],MATCH(A330,Data[Label],0))</f>
        <v>87.74</v>
      </c>
      <c r="F330" s="218">
        <f>INDEX(Data[FY2026 TLC],MATCH(A330,Data[Label],0))</f>
        <v>385.29</v>
      </c>
      <c r="G330" s="177">
        <f t="shared" si="329"/>
        <v>462917</v>
      </c>
      <c r="H330" s="177">
        <f t="shared" si="330"/>
        <v>23527</v>
      </c>
      <c r="I330" s="177">
        <f t="shared" si="331"/>
        <v>26550</v>
      </c>
      <c r="J330" s="177">
        <f t="shared" si="332"/>
        <v>116589</v>
      </c>
      <c r="K330" s="177">
        <f>INDEX(Data[FY2026 TSS Budget Guarantee],MATCH(A330,Data[Label],0))+INDEX(Data[FY2026 PD Budget Guarantee],MATCH(A330,Data[Label],0))+INDEX(Data[FY2026 Early Intervention Budget Guarantee],MATCH(A330,Data[Label],0))+INDEX(Data[FY2026 TLC Budget Gurantee],MATCH(A330,Data[Label],0))</f>
        <v>4313</v>
      </c>
      <c r="L330" s="177">
        <f t="shared" si="333"/>
        <v>633896</v>
      </c>
      <c r="M330" s="176">
        <f>INDEX(Data[FY2027 Budget Enrollment],MATCH(A330,Data[Label],0))+INDEX(Data[FY2027 ESAs],MATCH(A330,Data[Label],0))</f>
        <v>306.2</v>
      </c>
      <c r="N330" s="218">
        <f t="shared" si="334"/>
        <v>1543.49</v>
      </c>
      <c r="O330" s="218">
        <f t="shared" si="335"/>
        <v>79.3</v>
      </c>
      <c r="P330" s="218">
        <f t="shared" si="336"/>
        <v>89.429999999999993</v>
      </c>
      <c r="Q330" s="218">
        <f t="shared" si="337"/>
        <v>393</v>
      </c>
      <c r="R330" s="177">
        <f t="shared" si="345"/>
        <v>472617</v>
      </c>
      <c r="S330" s="177">
        <f t="shared" si="346"/>
        <v>24282</v>
      </c>
      <c r="T330" s="177">
        <f t="shared" si="347"/>
        <v>27383</v>
      </c>
      <c r="U330" s="177">
        <f t="shared" ref="U330" si="410">ROUND($M330*Q330,0)</f>
        <v>120337</v>
      </c>
      <c r="V330" s="177">
        <f t="shared" si="339"/>
        <v>0</v>
      </c>
      <c r="W330" s="177">
        <f t="shared" si="340"/>
        <v>644619</v>
      </c>
      <c r="X330" s="177">
        <f t="shared" si="341"/>
        <v>10723</v>
      </c>
      <c r="Y330" s="178">
        <f t="shared" si="342"/>
        <v>1.6916024079659756E-2</v>
      </c>
      <c r="Z330" s="179">
        <f t="shared" si="343"/>
        <v>3.5999999999999659</v>
      </c>
      <c r="AA330" s="180">
        <f t="shared" si="344"/>
        <v>1.189689358889612E-2</v>
      </c>
    </row>
    <row r="331" spans="1:27" x14ac:dyDescent="0.55000000000000004">
      <c r="A331" s="229" t="s">
        <v>324</v>
      </c>
      <c r="B331" s="181">
        <f>INDEX(Data[FY2026 Budget Enrollment],MATCH(A331,Data[Label],0))+INDEX(Data[FY2026 ESA],MATCH(A331,Data[Label],0))</f>
        <v>1654.8</v>
      </c>
      <c r="C331" s="91">
        <f>INDEX(Data[FY2026 TSS],MATCH(A331,Data[Label],0))</f>
        <v>809.12</v>
      </c>
      <c r="D331" s="91">
        <f>INDEX(Data[FY2026 PD],MATCH(A331,Data[Label],0))</f>
        <v>72.61</v>
      </c>
      <c r="E331" s="91">
        <f>INDEX(Data[FY2026 Early Intervention],MATCH(A331,Data[Label],0))</f>
        <v>85.86</v>
      </c>
      <c r="F331" s="91">
        <f>INDEX(Data[FY2026 TLC],MATCH(A331,Data[Label],0))</f>
        <v>385.29</v>
      </c>
      <c r="G331" s="182">
        <f t="shared" ref="G331:G334" si="411">ROUND($B331*C331,0)</f>
        <v>1338932</v>
      </c>
      <c r="H331" s="182">
        <f t="shared" ref="H331:H334" si="412">ROUND($B331*D331,0)</f>
        <v>120155</v>
      </c>
      <c r="I331" s="182">
        <f t="shared" ref="I331:I334" si="413">ROUND($B331*E331,0)</f>
        <v>142081</v>
      </c>
      <c r="J331" s="182">
        <f t="shared" ref="J331:J334" si="414">ROUND($B331*F331,0)</f>
        <v>637578</v>
      </c>
      <c r="K331" s="182">
        <f>INDEX(Data[FY2026 TSS Budget Guarantee],MATCH(A331,Data[Label],0))+INDEX(Data[FY2026 PD Budget Guarantee],MATCH(A331,Data[Label],0))+INDEX(Data[FY2026 Early Intervention Budget Guarantee],MATCH(A331,Data[Label],0))+INDEX(Data[FY2026 TLC Budget Gurantee],MATCH(A331,Data[Label],0))</f>
        <v>0</v>
      </c>
      <c r="L331" s="182">
        <f t="shared" ref="L331:L334" si="415">G331+H331+I331+J331+K331</f>
        <v>2238746</v>
      </c>
      <c r="M331" s="181">
        <f>INDEX(Data[FY2027 Budget Enrollment],MATCH(A331,Data[Label],0))+INDEX(Data[FY2027 ESAs],MATCH(A331,Data[Label],0))</f>
        <v>1659.6</v>
      </c>
      <c r="N331" s="91">
        <f t="shared" ref="N331:N334" si="416">C331+ROUND(684.47*$B$6,2)</f>
        <v>822.81000000000006</v>
      </c>
      <c r="O331" s="91">
        <f t="shared" ref="O331:O334" si="417">D331+ROUND(77.52*$B$6,2)</f>
        <v>74.16</v>
      </c>
      <c r="P331" s="91">
        <f t="shared" ref="P331:P334" si="418">E331+ROUND(84.44*$B$6,2)</f>
        <v>87.55</v>
      </c>
      <c r="Q331" s="91">
        <f t="shared" ref="Q331:Q334" si="419">F331+ROUND(F331*$B$6,2)</f>
        <v>393</v>
      </c>
      <c r="R331" s="182">
        <f t="shared" si="345"/>
        <v>1365535</v>
      </c>
      <c r="S331" s="182">
        <f t="shared" si="346"/>
        <v>123076</v>
      </c>
      <c r="T331" s="182">
        <f t="shared" si="347"/>
        <v>145298</v>
      </c>
      <c r="U331" s="182">
        <f t="shared" ref="U331" si="420">ROUND($M331*Q331,)</f>
        <v>652223</v>
      </c>
      <c r="V331" s="182">
        <f t="shared" ref="V331:V334" si="421">ROUND(MAX((G331-R331),0),0)+ROUND(MAX((H331-S331),0),0)+ROUND(MAX((I331-T331),0),0)+ROUND(MAX((J331-U331),0),0)</f>
        <v>0</v>
      </c>
      <c r="W331" s="182">
        <f t="shared" ref="W331:W334" si="422">SUM(R331:U331)+V331</f>
        <v>2286132</v>
      </c>
      <c r="X331" s="182">
        <f t="shared" ref="X331:X334" si="423">W331-L331</f>
        <v>47386</v>
      </c>
      <c r="Y331" s="183">
        <f t="shared" ref="Y331:Y334" si="424">X331/L331</f>
        <v>2.1166313641654749E-2</v>
      </c>
      <c r="Z331" s="184">
        <f t="shared" ref="Z331:Z334" si="425">M331-B331</f>
        <v>4.7999999999999545</v>
      </c>
      <c r="AA331" s="185">
        <f t="shared" ref="AA331:AA334" si="426">Z331/B331</f>
        <v>2.900652646845513E-3</v>
      </c>
    </row>
    <row r="332" spans="1:27" x14ac:dyDescent="0.55000000000000004">
      <c r="A332" s="230" t="s">
        <v>325</v>
      </c>
      <c r="B332" s="176">
        <f>INDEX(Data[FY2026 Budget Enrollment],MATCH(A332,Data[Label],0))+INDEX(Data[FY2026 ESA],MATCH(A332,Data[Label],0))</f>
        <v>516.5</v>
      </c>
      <c r="C332" s="218">
        <f>INDEX(Data[FY2026 TSS],MATCH(A332,Data[Label],0))</f>
        <v>1141.83</v>
      </c>
      <c r="D332" s="218">
        <f>INDEX(Data[FY2026 PD],MATCH(A332,Data[Label],0))</f>
        <v>82.59</v>
      </c>
      <c r="E332" s="218">
        <f>INDEX(Data[FY2026 Early Intervention],MATCH(A332,Data[Label],0))</f>
        <v>86.39</v>
      </c>
      <c r="F332" s="218">
        <f>INDEX(Data[FY2026 TLC],MATCH(A332,Data[Label],0))</f>
        <v>385.29</v>
      </c>
      <c r="G332" s="177">
        <f t="shared" si="411"/>
        <v>589755</v>
      </c>
      <c r="H332" s="177">
        <f t="shared" si="412"/>
        <v>42658</v>
      </c>
      <c r="I332" s="177">
        <f t="shared" si="413"/>
        <v>44620</v>
      </c>
      <c r="J332" s="177">
        <f t="shared" si="414"/>
        <v>199002</v>
      </c>
      <c r="K332" s="177">
        <f>INDEX(Data[FY2026 TSS Budget Guarantee],MATCH(A332,Data[Label],0))+INDEX(Data[FY2026 PD Budget Guarantee],MATCH(A332,Data[Label],0))+INDEX(Data[FY2026 Early Intervention Budget Guarantee],MATCH(A332,Data[Label],0))+INDEX(Data[FY2026 TLC Budget Gurantee],MATCH(A332,Data[Label],0))</f>
        <v>0</v>
      </c>
      <c r="L332" s="177">
        <f t="shared" si="415"/>
        <v>876035</v>
      </c>
      <c r="M332" s="176">
        <f>INDEX(Data[FY2027 Budget Enrollment],MATCH(A332,Data[Label],0))+INDEX(Data[FY2027 ESAs],MATCH(A332,Data[Label],0))</f>
        <v>533.5</v>
      </c>
      <c r="N332" s="218">
        <f t="shared" si="416"/>
        <v>1155.52</v>
      </c>
      <c r="O332" s="218">
        <f t="shared" si="417"/>
        <v>84.14</v>
      </c>
      <c r="P332" s="218">
        <f t="shared" si="418"/>
        <v>88.08</v>
      </c>
      <c r="Q332" s="218">
        <f t="shared" si="419"/>
        <v>393</v>
      </c>
      <c r="R332" s="177">
        <f t="shared" ref="R332:R334" si="427">ROUND($M332*N332,0)</f>
        <v>616470</v>
      </c>
      <c r="S332" s="177">
        <f t="shared" ref="S332:S334" si="428">ROUND($M332*O332,0)</f>
        <v>44889</v>
      </c>
      <c r="T332" s="177">
        <f t="shared" ref="T332:T334" si="429">ROUND($M332*P332,0)</f>
        <v>46991</v>
      </c>
      <c r="U332" s="177">
        <f t="shared" ref="U332" si="430">ROUND($M332*Q332,0)</f>
        <v>209666</v>
      </c>
      <c r="V332" s="177">
        <f t="shared" si="421"/>
        <v>0</v>
      </c>
      <c r="W332" s="177">
        <f t="shared" si="422"/>
        <v>918016</v>
      </c>
      <c r="X332" s="177">
        <f t="shared" si="423"/>
        <v>41981</v>
      </c>
      <c r="Y332" s="178">
        <f t="shared" si="424"/>
        <v>4.7921601305883896E-2</v>
      </c>
      <c r="Z332" s="179">
        <f t="shared" si="425"/>
        <v>17</v>
      </c>
      <c r="AA332" s="180">
        <f t="shared" si="426"/>
        <v>3.2913843175217811E-2</v>
      </c>
    </row>
    <row r="333" spans="1:27" x14ac:dyDescent="0.55000000000000004">
      <c r="A333" s="229" t="s">
        <v>326</v>
      </c>
      <c r="B333" s="181">
        <f>INDEX(Data[FY2026 Budget Enrollment],MATCH(A333,Data[Label],0))+INDEX(Data[FY2026 ESA],MATCH(A333,Data[Label],0))</f>
        <v>521.9</v>
      </c>
      <c r="C333" s="91">
        <f>INDEX(Data[FY2026 TSS],MATCH(A333,Data[Label],0))</f>
        <v>1083.71</v>
      </c>
      <c r="D333" s="91">
        <f>INDEX(Data[FY2026 PD],MATCH(A333,Data[Label],0))</f>
        <v>75.34</v>
      </c>
      <c r="E333" s="91">
        <f>INDEX(Data[FY2026 Early Intervention],MATCH(A333,Data[Label],0))</f>
        <v>79.209999999999994</v>
      </c>
      <c r="F333" s="91">
        <f>INDEX(Data[FY2026 TLC],MATCH(A333,Data[Label],0))</f>
        <v>385.29</v>
      </c>
      <c r="G333" s="182">
        <f t="shared" si="411"/>
        <v>565588</v>
      </c>
      <c r="H333" s="182">
        <f t="shared" si="412"/>
        <v>39320</v>
      </c>
      <c r="I333" s="182">
        <f t="shared" si="413"/>
        <v>41340</v>
      </c>
      <c r="J333" s="182">
        <f t="shared" si="414"/>
        <v>201083</v>
      </c>
      <c r="K333" s="182">
        <f>INDEX(Data[FY2026 TSS Budget Guarantee],MATCH(A333,Data[Label],0))+INDEX(Data[FY2026 PD Budget Guarantee],MATCH(A333,Data[Label],0))+INDEX(Data[FY2026 Early Intervention Budget Guarantee],MATCH(A333,Data[Label],0))+INDEX(Data[FY2026 TLC Budget Gurantee],MATCH(A333,Data[Label],0))</f>
        <v>0</v>
      </c>
      <c r="L333" s="182">
        <f t="shared" si="415"/>
        <v>847331</v>
      </c>
      <c r="M333" s="181">
        <f>INDEX(Data[FY2027 Budget Enrollment],MATCH(A333,Data[Label],0))+INDEX(Data[FY2027 ESAs],MATCH(A333,Data[Label],0))</f>
        <v>523.6</v>
      </c>
      <c r="N333" s="91">
        <f t="shared" si="416"/>
        <v>1097.4000000000001</v>
      </c>
      <c r="O333" s="91">
        <f t="shared" si="417"/>
        <v>76.89</v>
      </c>
      <c r="P333" s="91">
        <f t="shared" si="418"/>
        <v>80.899999999999991</v>
      </c>
      <c r="Q333" s="91">
        <f t="shared" si="419"/>
        <v>393</v>
      </c>
      <c r="R333" s="182">
        <f t="shared" si="427"/>
        <v>574599</v>
      </c>
      <c r="S333" s="182">
        <f t="shared" si="428"/>
        <v>40260</v>
      </c>
      <c r="T333" s="182">
        <f t="shared" si="429"/>
        <v>42359</v>
      </c>
      <c r="U333" s="182">
        <f t="shared" ref="U333" si="431">ROUND($M333*Q333,)</f>
        <v>205775</v>
      </c>
      <c r="V333" s="182">
        <f t="shared" si="421"/>
        <v>0</v>
      </c>
      <c r="W333" s="182">
        <f t="shared" si="422"/>
        <v>862993</v>
      </c>
      <c r="X333" s="182">
        <f t="shared" si="423"/>
        <v>15662</v>
      </c>
      <c r="Y333" s="183">
        <f t="shared" si="424"/>
        <v>1.8483921867605457E-2</v>
      </c>
      <c r="Z333" s="184">
        <f t="shared" si="425"/>
        <v>1.7000000000000455</v>
      </c>
      <c r="AA333" s="185">
        <f t="shared" si="426"/>
        <v>3.2573289902281003E-3</v>
      </c>
    </row>
    <row r="334" spans="1:27" ht="14.7" thickBot="1" x14ac:dyDescent="0.6">
      <c r="A334" s="231" t="s">
        <v>327</v>
      </c>
      <c r="B334" s="186">
        <f>INDEX(Data[FY2026 Budget Enrollment],MATCH(A334,Data[Label],0))+INDEX(Data[FY2026 ESA],MATCH(A334,Data[Label],0))</f>
        <v>1122.4000000000001</v>
      </c>
      <c r="C334" s="220">
        <f>INDEX(Data[FY2026 TSS],MATCH(A334,Data[Label],0))</f>
        <v>853.9</v>
      </c>
      <c r="D334" s="220">
        <f>INDEX(Data[FY2026 PD],MATCH(A334,Data[Label],0))</f>
        <v>72.150000000000006</v>
      </c>
      <c r="E334" s="220">
        <f>INDEX(Data[FY2026 Early Intervention],MATCH(A334,Data[Label],0))</f>
        <v>76.599999999999994</v>
      </c>
      <c r="F334" s="220">
        <f>INDEX(Data[FY2026 TLC],MATCH(A334,Data[Label],0))</f>
        <v>385.29</v>
      </c>
      <c r="G334" s="187">
        <f t="shared" si="411"/>
        <v>958417</v>
      </c>
      <c r="H334" s="187">
        <f t="shared" si="412"/>
        <v>80981</v>
      </c>
      <c r="I334" s="187">
        <f t="shared" si="413"/>
        <v>85976</v>
      </c>
      <c r="J334" s="187">
        <f t="shared" si="414"/>
        <v>432449</v>
      </c>
      <c r="K334" s="187">
        <f>INDEX(Data[FY2026 TSS Budget Guarantee],MATCH(A334,Data[Label],0))+INDEX(Data[FY2026 PD Budget Guarantee],MATCH(A334,Data[Label],0))+INDEX(Data[FY2026 Early Intervention Budget Guarantee],MATCH(A334,Data[Label],0))+INDEX(Data[FY2026 TLC Budget Gurantee],MATCH(A334,Data[Label],0))</f>
        <v>0</v>
      </c>
      <c r="L334" s="187">
        <f t="shared" si="415"/>
        <v>1557823</v>
      </c>
      <c r="M334" s="186">
        <f>INDEX(Data[FY2027 Budget Enrollment],MATCH(A334,Data[Label],0))+INDEX(Data[FY2027 ESAs],MATCH(A334,Data[Label],0))</f>
        <v>1146.3</v>
      </c>
      <c r="N334" s="220">
        <f t="shared" si="416"/>
        <v>867.59</v>
      </c>
      <c r="O334" s="220">
        <f t="shared" si="417"/>
        <v>73.7</v>
      </c>
      <c r="P334" s="220">
        <f t="shared" si="418"/>
        <v>78.289999999999992</v>
      </c>
      <c r="Q334" s="220">
        <f t="shared" si="419"/>
        <v>393</v>
      </c>
      <c r="R334" s="187">
        <f t="shared" si="427"/>
        <v>994518</v>
      </c>
      <c r="S334" s="187">
        <f t="shared" si="428"/>
        <v>84482</v>
      </c>
      <c r="T334" s="187">
        <f t="shared" si="429"/>
        <v>89744</v>
      </c>
      <c r="U334" s="187">
        <f t="shared" ref="U334" si="432">ROUND($M334*Q334,0)</f>
        <v>450496</v>
      </c>
      <c r="V334" s="187">
        <f t="shared" si="421"/>
        <v>0</v>
      </c>
      <c r="W334" s="187">
        <f t="shared" si="422"/>
        <v>1619240</v>
      </c>
      <c r="X334" s="187">
        <f t="shared" si="423"/>
        <v>61417</v>
      </c>
      <c r="Y334" s="188">
        <f t="shared" si="424"/>
        <v>3.9424889733942814E-2</v>
      </c>
      <c r="Z334" s="189">
        <f t="shared" si="425"/>
        <v>23.899999999999864</v>
      </c>
      <c r="AA334" s="190">
        <f t="shared" si="426"/>
        <v>2.1293656450463171E-2</v>
      </c>
    </row>
    <row r="335" spans="1:27" ht="14.7" thickBot="1" x14ac:dyDescent="0.6">
      <c r="B335" s="172"/>
      <c r="M335" s="172"/>
    </row>
    <row r="336" spans="1:27" x14ac:dyDescent="0.55000000000000004">
      <c r="A336" s="204" t="s">
        <v>424</v>
      </c>
      <c r="B336" s="205">
        <f>MIN(B10:B334)</f>
        <v>90</v>
      </c>
      <c r="C336" s="219">
        <f t="shared" ref="C336:AA336" si="433">MIN(C10:C334)</f>
        <v>712.7</v>
      </c>
      <c r="D336" s="219">
        <f t="shared" ref="D336:F336" si="434">MIN(D10:D334)</f>
        <v>51.47</v>
      </c>
      <c r="E336" s="219">
        <f t="shared" si="434"/>
        <v>56.84</v>
      </c>
      <c r="F336" s="219">
        <f t="shared" si="434"/>
        <v>385.29</v>
      </c>
      <c r="G336" s="206">
        <f t="shared" si="433"/>
        <v>190605</v>
      </c>
      <c r="H336" s="206">
        <f t="shared" ref="H336:J336" si="435">MIN(H10:H334)</f>
        <v>8755</v>
      </c>
      <c r="I336" s="206">
        <f t="shared" si="435"/>
        <v>9761</v>
      </c>
      <c r="J336" s="206">
        <f t="shared" si="435"/>
        <v>34676</v>
      </c>
      <c r="K336" s="206">
        <f t="shared" si="433"/>
        <v>0</v>
      </c>
      <c r="L336" s="207">
        <f t="shared" si="433"/>
        <v>267938</v>
      </c>
      <c r="M336" s="205">
        <f t="shared" si="433"/>
        <v>97</v>
      </c>
      <c r="N336" s="219">
        <f t="shared" si="433"/>
        <v>726.3900000000001</v>
      </c>
      <c r="O336" s="219">
        <f t="shared" ref="O336:Q336" si="436">MIN(O10:O334)</f>
        <v>53.019999999999996</v>
      </c>
      <c r="P336" s="219">
        <f t="shared" si="436"/>
        <v>58.53</v>
      </c>
      <c r="Q336" s="219">
        <f t="shared" si="436"/>
        <v>393</v>
      </c>
      <c r="R336" s="206">
        <f t="shared" si="433"/>
        <v>197995</v>
      </c>
      <c r="S336" s="206">
        <f t="shared" ref="S336:U336" si="437">MIN(S10:S334)</f>
        <v>8504</v>
      </c>
      <c r="T336" s="206">
        <f t="shared" si="437"/>
        <v>7764</v>
      </c>
      <c r="U336" s="206">
        <f t="shared" si="437"/>
        <v>38121</v>
      </c>
      <c r="V336" s="206">
        <f t="shared" si="433"/>
        <v>0</v>
      </c>
      <c r="W336" s="206">
        <f t="shared" si="433"/>
        <v>275997</v>
      </c>
      <c r="X336" s="206">
        <f t="shared" si="433"/>
        <v>-36774</v>
      </c>
      <c r="Y336" s="208">
        <f t="shared" si="433"/>
        <v>-2.8249241913746632E-2</v>
      </c>
      <c r="Z336" s="209">
        <f t="shared" si="433"/>
        <v>-77.099999999999909</v>
      </c>
      <c r="AA336" s="210">
        <f t="shared" si="433"/>
        <v>-0.22377622377622378</v>
      </c>
    </row>
    <row r="337" spans="1:27" x14ac:dyDescent="0.55000000000000004">
      <c r="A337" s="198" t="s">
        <v>425</v>
      </c>
      <c r="B337" s="181">
        <f>MAX(B10:B334)</f>
        <v>33078.300000000003</v>
      </c>
      <c r="C337" s="91">
        <f t="shared" ref="C337:AA337" si="438">MAX(C10:C334)</f>
        <v>3360.03</v>
      </c>
      <c r="D337" s="91">
        <f t="shared" ref="D337:F337" si="439">MAX(D10:D334)</f>
        <v>106.22</v>
      </c>
      <c r="E337" s="91">
        <f t="shared" si="439"/>
        <v>128.46</v>
      </c>
      <c r="F337" s="91">
        <f t="shared" si="439"/>
        <v>385.29</v>
      </c>
      <c r="G337" s="182">
        <f t="shared" si="438"/>
        <v>23600044</v>
      </c>
      <c r="H337" s="182">
        <f t="shared" ref="H337:J337" si="440">MAX(H10:H334)</f>
        <v>2896667</v>
      </c>
      <c r="I337" s="182">
        <f t="shared" si="440"/>
        <v>3445767</v>
      </c>
      <c r="J337" s="182">
        <f t="shared" si="440"/>
        <v>12744738</v>
      </c>
      <c r="K337" s="182">
        <f t="shared" si="438"/>
        <v>36774</v>
      </c>
      <c r="L337" s="194">
        <f t="shared" si="438"/>
        <v>42687216</v>
      </c>
      <c r="M337" s="181">
        <f t="shared" si="438"/>
        <v>33280.699999999997</v>
      </c>
      <c r="N337" s="91">
        <f t="shared" si="438"/>
        <v>3373.7200000000003</v>
      </c>
      <c r="O337" s="91">
        <f t="shared" ref="O337:Q337" si="441">MAX(O10:O334)</f>
        <v>107.77</v>
      </c>
      <c r="P337" s="91">
        <f t="shared" si="441"/>
        <v>130.15</v>
      </c>
      <c r="Q337" s="91">
        <f t="shared" si="441"/>
        <v>393</v>
      </c>
      <c r="R337" s="182">
        <f t="shared" si="438"/>
        <v>24200061</v>
      </c>
      <c r="S337" s="182">
        <f t="shared" ref="S337:U337" si="442">MAX(S10:S334)</f>
        <v>2965976</v>
      </c>
      <c r="T337" s="182">
        <f t="shared" si="442"/>
        <v>3523095</v>
      </c>
      <c r="U337" s="182">
        <f t="shared" si="442"/>
        <v>13079315</v>
      </c>
      <c r="V337" s="182">
        <f t="shared" si="438"/>
        <v>94458</v>
      </c>
      <c r="W337" s="182">
        <f t="shared" si="438"/>
        <v>43768447</v>
      </c>
      <c r="X337" s="182">
        <f t="shared" si="438"/>
        <v>2034003</v>
      </c>
      <c r="Y337" s="183">
        <f t="shared" si="438"/>
        <v>0.17952189173931185</v>
      </c>
      <c r="Z337" s="184">
        <f t="shared" si="438"/>
        <v>1319.8999999999996</v>
      </c>
      <c r="AA337" s="185">
        <f t="shared" si="438"/>
        <v>0.16360544217687081</v>
      </c>
    </row>
    <row r="338" spans="1:27" x14ac:dyDescent="0.55000000000000004">
      <c r="A338" s="197" t="s">
        <v>426</v>
      </c>
      <c r="B338" s="176">
        <f>AVERAGE(B10:B334)</f>
        <v>1564.712</v>
      </c>
      <c r="C338" s="218">
        <f t="shared" ref="C338:AA338" si="443">AVERAGE(C10:C334)</f>
        <v>1112.2103999999999</v>
      </c>
      <c r="D338" s="218">
        <f t="shared" ref="D338:F338" si="444">AVERAGE(D10:D334)</f>
        <v>77.216338461538442</v>
      </c>
      <c r="E338" s="218">
        <f t="shared" si="444"/>
        <v>81.529846153846151</v>
      </c>
      <c r="F338" s="218">
        <f t="shared" si="444"/>
        <v>385.28999999999735</v>
      </c>
      <c r="G338" s="177">
        <f t="shared" si="443"/>
        <v>1356009.2707692308</v>
      </c>
      <c r="H338" s="177">
        <f t="shared" ref="H338:J338" si="445">AVERAGE(H10:H334)</f>
        <v>120974.79692307692</v>
      </c>
      <c r="I338" s="177">
        <f t="shared" si="445"/>
        <v>131563.22153846154</v>
      </c>
      <c r="J338" s="177">
        <f t="shared" si="445"/>
        <v>602867.88923076924</v>
      </c>
      <c r="K338" s="177">
        <f t="shared" si="443"/>
        <v>1658.9446153846154</v>
      </c>
      <c r="L338" s="193">
        <f t="shared" si="443"/>
        <v>2213074.1230769232</v>
      </c>
      <c r="M338" s="176">
        <f t="shared" si="443"/>
        <v>1582.6873846153846</v>
      </c>
      <c r="N338" s="218">
        <f t="shared" si="443"/>
        <v>1125.9003999999998</v>
      </c>
      <c r="O338" s="218">
        <f t="shared" ref="O338:Q338" si="446">AVERAGE(O10:O334)</f>
        <v>78.766338461538382</v>
      </c>
      <c r="P338" s="218">
        <f t="shared" si="446"/>
        <v>83.219846153846149</v>
      </c>
      <c r="Q338" s="218">
        <f t="shared" si="446"/>
        <v>393</v>
      </c>
      <c r="R338" s="177">
        <f t="shared" si="443"/>
        <v>1389697.0307692308</v>
      </c>
      <c r="S338" s="177">
        <f t="shared" ref="S338:U338" si="447">AVERAGE(S10:S334)</f>
        <v>124775.54153846153</v>
      </c>
      <c r="T338" s="177">
        <f t="shared" si="447"/>
        <v>135695.83692307692</v>
      </c>
      <c r="U338" s="177">
        <f t="shared" si="447"/>
        <v>621996.20615384611</v>
      </c>
      <c r="V338" s="177">
        <f t="shared" si="443"/>
        <v>7932.5476923076922</v>
      </c>
      <c r="W338" s="177">
        <f t="shared" si="443"/>
        <v>2280097.1630769232</v>
      </c>
      <c r="X338" s="177">
        <f t="shared" si="443"/>
        <v>67023.039999999994</v>
      </c>
      <c r="Y338" s="178">
        <f t="shared" si="443"/>
        <v>1.9616121511638131E-2</v>
      </c>
      <c r="Z338" s="179">
        <f t="shared" si="443"/>
        <v>17.975384615384613</v>
      </c>
      <c r="AA338" s="180">
        <f t="shared" si="443"/>
        <v>-2.8064116719193743E-3</v>
      </c>
    </row>
    <row r="339" spans="1:27" x14ac:dyDescent="0.55000000000000004">
      <c r="A339" s="198" t="s">
        <v>427</v>
      </c>
      <c r="B339" s="181">
        <f>MEDIAN(B10:B334)</f>
        <v>708.3</v>
      </c>
      <c r="C339" s="91">
        <f t="shared" ref="C339:AA339" si="448">MEDIAN(C10:C334)</f>
        <v>1043.68</v>
      </c>
      <c r="D339" s="91">
        <f t="shared" ref="D339:F339" si="449">MEDIAN(D10:D334)</f>
        <v>76.98</v>
      </c>
      <c r="E339" s="91">
        <f t="shared" si="449"/>
        <v>80.900000000000006</v>
      </c>
      <c r="F339" s="91">
        <f t="shared" si="449"/>
        <v>385.29</v>
      </c>
      <c r="G339" s="182">
        <f t="shared" si="448"/>
        <v>769826</v>
      </c>
      <c r="H339" s="182">
        <f t="shared" ref="H339:J339" si="450">MEDIAN(H10:H334)</f>
        <v>54505</v>
      </c>
      <c r="I339" s="182">
        <f t="shared" si="450"/>
        <v>54881</v>
      </c>
      <c r="J339" s="182">
        <f t="shared" si="450"/>
        <v>272901</v>
      </c>
      <c r="K339" s="182">
        <f t="shared" si="448"/>
        <v>0</v>
      </c>
      <c r="L339" s="194">
        <f t="shared" si="448"/>
        <v>1154476</v>
      </c>
      <c r="M339" s="181">
        <f t="shared" si="448"/>
        <v>715.6</v>
      </c>
      <c r="N339" s="91">
        <f t="shared" si="448"/>
        <v>1057.3700000000001</v>
      </c>
      <c r="O339" s="91">
        <f t="shared" ref="O339:Q339" si="451">MEDIAN(O10:O334)</f>
        <v>78.53</v>
      </c>
      <c r="P339" s="91">
        <f t="shared" si="451"/>
        <v>82.59</v>
      </c>
      <c r="Q339" s="91">
        <f t="shared" si="451"/>
        <v>393</v>
      </c>
      <c r="R339" s="182">
        <f t="shared" si="448"/>
        <v>799404</v>
      </c>
      <c r="S339" s="182">
        <f t="shared" ref="S339:U339" si="452">MEDIAN(S10:S334)</f>
        <v>55636</v>
      </c>
      <c r="T339" s="182">
        <f t="shared" si="452"/>
        <v>56112</v>
      </c>
      <c r="U339" s="182">
        <f t="shared" si="452"/>
        <v>281231</v>
      </c>
      <c r="V339" s="182">
        <f t="shared" si="448"/>
        <v>0</v>
      </c>
      <c r="W339" s="182">
        <f t="shared" si="448"/>
        <v>1172965</v>
      </c>
      <c r="X339" s="182">
        <f t="shared" si="448"/>
        <v>12535</v>
      </c>
      <c r="Y339" s="183">
        <f t="shared" si="448"/>
        <v>1.1829841795393037E-2</v>
      </c>
      <c r="Z339" s="184">
        <f t="shared" si="448"/>
        <v>-1.7000000000000455</v>
      </c>
      <c r="AA339" s="185">
        <f t="shared" si="448"/>
        <v>-2.3628901877875601E-3</v>
      </c>
    </row>
    <row r="340" spans="1:27" x14ac:dyDescent="0.55000000000000004">
      <c r="A340" s="197" t="s">
        <v>428</v>
      </c>
      <c r="B340" s="215">
        <f>COUNTIF(B10:B334,"&gt;0")</f>
        <v>325</v>
      </c>
      <c r="C340" s="214">
        <f t="shared" ref="C340:X340" si="453">COUNTIF(C10:C334,"&gt;0")</f>
        <v>325</v>
      </c>
      <c r="D340" s="214">
        <f t="shared" ref="D340:F340" si="454">COUNTIF(D10:D334,"&gt;0")</f>
        <v>325</v>
      </c>
      <c r="E340" s="214">
        <f t="shared" si="454"/>
        <v>325</v>
      </c>
      <c r="F340" s="214">
        <f t="shared" si="454"/>
        <v>325</v>
      </c>
      <c r="G340" s="214">
        <f t="shared" si="453"/>
        <v>325</v>
      </c>
      <c r="H340" s="214">
        <f t="shared" ref="H340:J340" si="455">COUNTIF(H10:H334,"&gt;0")</f>
        <v>325</v>
      </c>
      <c r="I340" s="214">
        <f t="shared" si="455"/>
        <v>325</v>
      </c>
      <c r="J340" s="214">
        <f t="shared" si="455"/>
        <v>325</v>
      </c>
      <c r="K340" s="214">
        <f t="shared" si="453"/>
        <v>85</v>
      </c>
      <c r="L340" s="216">
        <f t="shared" si="453"/>
        <v>325</v>
      </c>
      <c r="M340" s="215">
        <f t="shared" si="453"/>
        <v>325</v>
      </c>
      <c r="N340" s="214">
        <f t="shared" si="453"/>
        <v>325</v>
      </c>
      <c r="O340" s="214">
        <f t="shared" ref="O340:Q340" si="456">COUNTIF(O10:O334,"&gt;0")</f>
        <v>325</v>
      </c>
      <c r="P340" s="214">
        <f t="shared" si="456"/>
        <v>325</v>
      </c>
      <c r="Q340" s="214">
        <f t="shared" si="456"/>
        <v>325</v>
      </c>
      <c r="R340" s="214">
        <f t="shared" si="453"/>
        <v>325</v>
      </c>
      <c r="S340" s="214">
        <f t="shared" ref="S340:U340" si="457">COUNTIF(S10:S334,"&gt;0")</f>
        <v>325</v>
      </c>
      <c r="T340" s="214">
        <f t="shared" si="457"/>
        <v>325</v>
      </c>
      <c r="U340" s="214">
        <f t="shared" si="457"/>
        <v>325</v>
      </c>
      <c r="V340" s="214">
        <f t="shared" si="453"/>
        <v>114</v>
      </c>
      <c r="W340" s="214">
        <f t="shared" si="453"/>
        <v>325</v>
      </c>
      <c r="X340" s="214">
        <f t="shared" si="453"/>
        <v>225</v>
      </c>
      <c r="Y340" s="178"/>
      <c r="Z340" s="179"/>
      <c r="AA340" s="180"/>
    </row>
    <row r="341" spans="1:27" ht="14.7" thickBot="1" x14ac:dyDescent="0.6">
      <c r="A341" s="211" t="s">
        <v>429</v>
      </c>
      <c r="B341" s="200">
        <f>SUM(B10:B334)</f>
        <v>508531.4</v>
      </c>
      <c r="C341" s="201"/>
      <c r="D341" s="201"/>
      <c r="E341" s="201"/>
      <c r="F341" s="201"/>
      <c r="G341" s="201">
        <f t="shared" ref="G341:X341" si="458">SUM(G10:G334)</f>
        <v>440703013</v>
      </c>
      <c r="H341" s="201">
        <f t="shared" ref="H341:J341" si="459">SUM(H10:H334)</f>
        <v>39316809</v>
      </c>
      <c r="I341" s="201">
        <f t="shared" si="459"/>
        <v>42758047</v>
      </c>
      <c r="J341" s="201">
        <f t="shared" si="459"/>
        <v>195932064</v>
      </c>
      <c r="K341" s="201">
        <f t="shared" si="458"/>
        <v>539157</v>
      </c>
      <c r="L341" s="202">
        <f t="shared" si="458"/>
        <v>719249090</v>
      </c>
      <c r="M341" s="200">
        <f t="shared" si="458"/>
        <v>514373.4</v>
      </c>
      <c r="N341" s="201"/>
      <c r="O341" s="201"/>
      <c r="P341" s="201"/>
      <c r="Q341" s="201"/>
      <c r="R341" s="201">
        <f t="shared" si="458"/>
        <v>451651535</v>
      </c>
      <c r="S341" s="201">
        <f t="shared" ref="S341:U341" si="460">SUM(S10:S334)</f>
        <v>40552051</v>
      </c>
      <c r="T341" s="201">
        <f t="shared" si="460"/>
        <v>44101147</v>
      </c>
      <c r="U341" s="201">
        <f t="shared" si="460"/>
        <v>202148767</v>
      </c>
      <c r="V341" s="201">
        <f t="shared" si="458"/>
        <v>2578078</v>
      </c>
      <c r="W341" s="201">
        <f t="shared" si="458"/>
        <v>741031578</v>
      </c>
      <c r="X341" s="201">
        <f t="shared" si="458"/>
        <v>21782488</v>
      </c>
      <c r="Y341" s="212"/>
      <c r="Z341" s="203">
        <f>SUM(Z10:Z334)</f>
        <v>5841.9999999999991</v>
      </c>
      <c r="AA341" s="213"/>
    </row>
  </sheetData>
  <mergeCells count="4">
    <mergeCell ref="A3:AA3"/>
    <mergeCell ref="A4:AA4"/>
    <mergeCell ref="B8:L8"/>
    <mergeCell ref="M8:AA8"/>
  </mergeCells>
  <conditionalFormatting sqref="Y10:Y334">
    <cfRule type="colorScale" priority="1">
      <colorScale>
        <cfvo type="min"/>
        <cfvo type="num" val="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scale="33" fitToHeight="0" orientation="landscape" r:id="rId1"/>
  <headerFooter>
    <oddFooter>&amp;R© ISFIS 2025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341"/>
  <sheetViews>
    <sheetView workbookViewId="0">
      <pane ySplit="9" topLeftCell="A10" activePane="bottomLeft" state="frozen"/>
      <selection pane="bottomLeft" activeCell="D95" sqref="D95"/>
    </sheetView>
  </sheetViews>
  <sheetFormatPr defaultRowHeight="14.4" x14ac:dyDescent="0.55000000000000004"/>
  <cols>
    <col min="1" max="1" width="35.26171875" customWidth="1"/>
    <col min="2" max="2" width="11.26171875" customWidth="1"/>
    <col min="3" max="6" width="15.26171875" customWidth="1"/>
    <col min="7" max="7" width="11.578125" bestFit="1" customWidth="1"/>
    <col min="8" max="8" width="15.41796875" bestFit="1" customWidth="1"/>
    <col min="9" max="9" width="15.26171875" bestFit="1" customWidth="1"/>
    <col min="10" max="10" width="13.41796875" bestFit="1" customWidth="1"/>
    <col min="11" max="11" width="15.41796875" bestFit="1" customWidth="1"/>
    <col min="12" max="12" width="14.41796875" bestFit="1" customWidth="1"/>
    <col min="13" max="13" width="10.578125" bestFit="1" customWidth="1"/>
    <col min="14" max="14" width="8.68359375" customWidth="1"/>
  </cols>
  <sheetData>
    <row r="3" spans="1:15" ht="21" customHeight="1" x14ac:dyDescent="0.95">
      <c r="A3" s="248" t="s">
        <v>400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</row>
    <row r="4" spans="1:15" x14ac:dyDescent="0.55000000000000004">
      <c r="A4" s="247" t="s">
        <v>455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</row>
    <row r="5" spans="1:15" ht="14.7" thickBot="1" x14ac:dyDescent="0.6">
      <c r="B5" t="s">
        <v>423</v>
      </c>
      <c r="D5" s="2" t="s">
        <v>422</v>
      </c>
    </row>
    <row r="6" spans="1:15" ht="14.7" thickBot="1" x14ac:dyDescent="0.6">
      <c r="B6" s="167">
        <f>Instuctions!C7</f>
        <v>0.02</v>
      </c>
      <c r="D6" s="166">
        <f>Instuctions!E7</f>
        <v>0</v>
      </c>
    </row>
    <row r="7" spans="1:15" ht="14.7" thickBot="1" x14ac:dyDescent="0.6">
      <c r="B7" s="37"/>
    </row>
    <row r="8" spans="1:15" ht="14.7" thickBot="1" x14ac:dyDescent="0.6">
      <c r="A8" s="163"/>
      <c r="B8" s="255" t="s">
        <v>338</v>
      </c>
      <c r="C8" s="256"/>
      <c r="D8" s="256"/>
      <c r="E8" s="256"/>
      <c r="F8" s="257"/>
      <c r="G8" s="249" t="s">
        <v>348</v>
      </c>
      <c r="H8" s="250"/>
      <c r="I8" s="250"/>
      <c r="J8" s="250"/>
      <c r="K8" s="250"/>
      <c r="L8" s="250"/>
      <c r="M8" s="250"/>
      <c r="N8" s="250"/>
      <c r="O8" s="251"/>
    </row>
    <row r="9" spans="1:15" ht="62.7" thickBot="1" x14ac:dyDescent="0.6">
      <c r="A9" s="196" t="s">
        <v>417</v>
      </c>
      <c r="B9" s="221" t="s">
        <v>341</v>
      </c>
      <c r="C9" s="222" t="s">
        <v>345</v>
      </c>
      <c r="D9" s="222" t="s">
        <v>447</v>
      </c>
      <c r="E9" s="223" t="s">
        <v>448</v>
      </c>
      <c r="F9" s="222" t="s">
        <v>449</v>
      </c>
      <c r="G9" s="246" t="s">
        <v>341</v>
      </c>
      <c r="H9" s="222" t="s">
        <v>345</v>
      </c>
      <c r="I9" s="222" t="s">
        <v>447</v>
      </c>
      <c r="J9" s="240" t="s">
        <v>448</v>
      </c>
      <c r="K9" s="241" t="s">
        <v>449</v>
      </c>
      <c r="L9" s="235" t="s">
        <v>418</v>
      </c>
      <c r="M9" s="235" t="s">
        <v>419</v>
      </c>
      <c r="N9" s="235" t="s">
        <v>420</v>
      </c>
      <c r="O9" s="236" t="s">
        <v>421</v>
      </c>
    </row>
    <row r="10" spans="1:15" x14ac:dyDescent="0.55000000000000004">
      <c r="A10" s="197" t="s">
        <v>3</v>
      </c>
      <c r="B10" s="205">
        <f>INDEX(Data[FY2026 Budget Enrollment],MATCH(A10,Data[Label],0))</f>
        <v>704.3</v>
      </c>
      <c r="C10" s="206">
        <f>INDEX(Data[FY2026 RPDC Total],MATCH(A10,Data[Label],0))+INDEX(Data[FY2026 RPDC Budget Guarantee],MATCH(A10,Data[Label],0))</f>
        <v>5675249</v>
      </c>
      <c r="D10" s="206">
        <f>'FY2027 Categoricals Report'!L10</f>
        <v>1097542</v>
      </c>
      <c r="E10" s="206">
        <f>ROUND((INDEX(Data[FY2026 Media Services],MATCH(A10,Data[Label],0))+INDEX(Data[FY2026 Ed Services],MATCH(A10,Data[Label],0)))*B10,0)</f>
        <v>97243</v>
      </c>
      <c r="F10" s="207">
        <f>E10+D10+C10</f>
        <v>6870034</v>
      </c>
      <c r="G10" s="242">
        <f>INDEX(Data[FY2027 Budget Enrollment],MATCH(A10,Data[Label],0))</f>
        <v>692.6</v>
      </c>
      <c r="H10" s="206">
        <f>'FY2027 RPDC Report'!K10</f>
        <v>5732001.7999999998</v>
      </c>
      <c r="I10" s="206">
        <f>'FY2027 Categoricals Report'!W10</f>
        <v>1097707</v>
      </c>
      <c r="J10" s="206">
        <f>(ROUND(INDEX(Data[FY2026 Media Services],MATCH(A10,Data[Label],0))*(1+$B$6),2)+ROUND(INDEX(Data[FY2026 Ed Services],MATCH(A10,Data[Label],0))*(1+$B$6),2))*G10</f>
        <v>97545.783999999985</v>
      </c>
      <c r="K10" s="206">
        <f>I10+J10+H10</f>
        <v>6927254.5839999998</v>
      </c>
      <c r="L10" s="206">
        <f>K10-F10</f>
        <v>57220.583999999799</v>
      </c>
      <c r="M10" s="208">
        <f>L10/F10</f>
        <v>8.3290103076636597E-3</v>
      </c>
      <c r="N10" s="209">
        <f t="shared" ref="N10:N73" si="0">G10-B10</f>
        <v>-11.699999999999932</v>
      </c>
      <c r="O10" s="210">
        <f t="shared" ref="O10:O73" si="1">N10/B10</f>
        <v>-1.6612239102655024E-2</v>
      </c>
    </row>
    <row r="11" spans="1:15" x14ac:dyDescent="0.55000000000000004">
      <c r="A11" s="198" t="s">
        <v>4</v>
      </c>
      <c r="B11" s="181">
        <f>INDEX(Data[FY2026 Budget Enrollment],MATCH(A11,Data[Label],0))</f>
        <v>788.2</v>
      </c>
      <c r="C11" s="182">
        <f>INDEX(Data[FY2026 RPDC Total],MATCH(A11,Data[Label],0))+INDEX(Data[FY2026 RPDC Budget Guarantee],MATCH(A11,Data[Label],0))</f>
        <v>6300083</v>
      </c>
      <c r="D11" s="182">
        <f>'FY2027 Categoricals Report'!L11</f>
        <v>1237698</v>
      </c>
      <c r="E11" s="182">
        <f>ROUND((INDEX(Data[FY2026 Media Services],MATCH(A11,Data[Label],0))+INDEX(Data[FY2026 Ed Services],MATCH(A11,Data[Label],0)))*B11,0)</f>
        <v>107865</v>
      </c>
      <c r="F11" s="194">
        <f t="shared" ref="F11:F74" si="2">E11+D11+C11</f>
        <v>7645646</v>
      </c>
      <c r="G11" s="243">
        <f>INDEX(Data[FY2027 Budget Enrollment],MATCH(A11,Data[Label],0))</f>
        <v>763.2</v>
      </c>
      <c r="H11" s="182">
        <f>'FY2027 RPDC Report'!K11</f>
        <v>6363083.6000000006</v>
      </c>
      <c r="I11" s="182">
        <f>'FY2027 Categoricals Report'!W11</f>
        <v>1237698</v>
      </c>
      <c r="J11" s="182">
        <f>(ROUND(INDEX(Data[FY2026 Media Services],MATCH(A11,Data[Label],0))*(1+$B$6),2)+ROUND(INDEX(Data[FY2026 Ed Services],MATCH(A11,Data[Label],0))*(1+$B$6),2))*G11</f>
        <v>106535.088</v>
      </c>
      <c r="K11" s="182">
        <f t="shared" ref="K11:K74" si="3">I11+J11+H11</f>
        <v>7707316.688000001</v>
      </c>
      <c r="L11" s="182">
        <f t="shared" ref="L11:L74" si="4">K11-F11</f>
        <v>61670.688000001013</v>
      </c>
      <c r="M11" s="178">
        <f t="shared" ref="M11:M74" si="5">L11/F11</f>
        <v>8.0661186772185128E-3</v>
      </c>
      <c r="N11" s="184">
        <f t="shared" si="0"/>
        <v>-25</v>
      </c>
      <c r="O11" s="185">
        <f t="shared" si="1"/>
        <v>-3.1717838112154277E-2</v>
      </c>
    </row>
    <row r="12" spans="1:15" x14ac:dyDescent="0.55000000000000004">
      <c r="A12" s="197" t="s">
        <v>5</v>
      </c>
      <c r="B12" s="176">
        <f>INDEX(Data[FY2026 Budget Enrollment],MATCH(A12,Data[Label],0))</f>
        <v>294.10000000000002</v>
      </c>
      <c r="C12" s="177">
        <f>INDEX(Data[FY2026 RPDC Total],MATCH(A12,Data[Label],0))+INDEX(Data[FY2026 RPDC Budget Guarantee],MATCH(A12,Data[Label],0))</f>
        <v>2349271</v>
      </c>
      <c r="D12" s="177">
        <f>'FY2027 Categoricals Report'!L12</f>
        <v>585015</v>
      </c>
      <c r="E12" s="177">
        <f>ROUND((INDEX(Data[FY2026 Media Services],MATCH(A12,Data[Label],0))+INDEX(Data[FY2026 Ed Services],MATCH(A12,Data[Label],0)))*B12,0)</f>
        <v>40039</v>
      </c>
      <c r="F12" s="193">
        <f t="shared" si="2"/>
        <v>2974325</v>
      </c>
      <c r="G12" s="244">
        <f>INDEX(Data[FY2027 Budget Enrollment],MATCH(A12,Data[Label],0))</f>
        <v>293.2</v>
      </c>
      <c r="H12" s="177">
        <f>'FY2027 RPDC Report'!K12</f>
        <v>2388993.6</v>
      </c>
      <c r="I12" s="177">
        <f>'FY2027 Categoricals Report'!W12</f>
        <v>590449</v>
      </c>
      <c r="J12" s="177">
        <f>(ROUND(INDEX(Data[FY2026 Media Services],MATCH(A12,Data[Label],0))*(1+$B$6),2)+ROUND(INDEX(Data[FY2026 Ed Services],MATCH(A12,Data[Label],0))*(1+$B$6),2))*G12</f>
        <v>40716.684000000001</v>
      </c>
      <c r="K12" s="177">
        <f t="shared" si="3"/>
        <v>3020159.284</v>
      </c>
      <c r="L12" s="177">
        <f t="shared" si="4"/>
        <v>45834.283999999985</v>
      </c>
      <c r="M12" s="178">
        <f t="shared" si="5"/>
        <v>1.540997839846015E-2</v>
      </c>
      <c r="N12" s="179">
        <f t="shared" si="0"/>
        <v>-0.90000000000003411</v>
      </c>
      <c r="O12" s="180">
        <f t="shared" si="1"/>
        <v>-3.0601836110167768E-3</v>
      </c>
    </row>
    <row r="13" spans="1:15" x14ac:dyDescent="0.55000000000000004">
      <c r="A13" s="198" t="s">
        <v>6</v>
      </c>
      <c r="B13" s="181">
        <f>INDEX(Data[FY2026 Budget Enrollment],MATCH(A13,Data[Label],0))</f>
        <v>2171</v>
      </c>
      <c r="C13" s="182">
        <f>INDEX(Data[FY2026 RPDC Total],MATCH(A13,Data[Label],0))+INDEX(Data[FY2026 RPDC Budget Guarantee],MATCH(A13,Data[Label],0))</f>
        <v>17341948</v>
      </c>
      <c r="D13" s="182">
        <f>'FY2027 Categoricals Report'!L13</f>
        <v>3000734</v>
      </c>
      <c r="E13" s="182">
        <f>ROUND((INDEX(Data[FY2026 Media Services],MATCH(A13,Data[Label],0))+INDEX(Data[FY2026 Ed Services],MATCH(A13,Data[Label],0)))*B13,0)</f>
        <v>295560</v>
      </c>
      <c r="F13" s="194">
        <f t="shared" si="2"/>
        <v>20638242</v>
      </c>
      <c r="G13" s="243">
        <f>INDEX(Data[FY2027 Budget Enrollment],MATCH(A13,Data[Label],0))</f>
        <v>2192.4</v>
      </c>
      <c r="H13" s="182">
        <f>'FY2027 RPDC Report'!K13</f>
        <v>17863675.199999999</v>
      </c>
      <c r="I13" s="182">
        <f>'FY2027 Categoricals Report'!W13</f>
        <v>3131879</v>
      </c>
      <c r="J13" s="182">
        <f>(ROUND(INDEX(Data[FY2026 Media Services],MATCH(A13,Data[Label],0))*(1+$B$6),2)+ROUND(INDEX(Data[FY2026 Ed Services],MATCH(A13,Data[Label],0))*(1+$B$6),2))*G13</f>
        <v>304458.58800000005</v>
      </c>
      <c r="K13" s="182">
        <f t="shared" si="3"/>
        <v>21300012.787999999</v>
      </c>
      <c r="L13" s="182">
        <f t="shared" si="4"/>
        <v>661770.78799999878</v>
      </c>
      <c r="M13" s="178">
        <f t="shared" si="5"/>
        <v>3.2065269318966159E-2</v>
      </c>
      <c r="N13" s="184">
        <f t="shared" si="0"/>
        <v>21.400000000000091</v>
      </c>
      <c r="O13" s="185">
        <f t="shared" si="1"/>
        <v>9.8572086596039107E-3</v>
      </c>
    </row>
    <row r="14" spans="1:15" x14ac:dyDescent="0.55000000000000004">
      <c r="A14" s="197" t="s">
        <v>7</v>
      </c>
      <c r="B14" s="176">
        <f>INDEX(Data[FY2026 Budget Enrollment],MATCH(A14,Data[Label],0))</f>
        <v>527.4</v>
      </c>
      <c r="C14" s="177">
        <f>INDEX(Data[FY2026 RPDC Total],MATCH(A14,Data[Label],0))+INDEX(Data[FY2026 RPDC Budget Guarantee],MATCH(A14,Data[Label],0))</f>
        <v>4257226</v>
      </c>
      <c r="D14" s="177">
        <f>'FY2027 Categoricals Report'!L14</f>
        <v>884657</v>
      </c>
      <c r="E14" s="177">
        <f>ROUND((INDEX(Data[FY2026 Media Services],MATCH(A14,Data[Label],0))+INDEX(Data[FY2026 Ed Services],MATCH(A14,Data[Label],0)))*B14,0)</f>
        <v>72955</v>
      </c>
      <c r="F14" s="193">
        <f t="shared" si="2"/>
        <v>5214838</v>
      </c>
      <c r="G14" s="244">
        <f>INDEX(Data[FY2027 Budget Enrollment],MATCH(A14,Data[Label],0))</f>
        <v>515.20000000000005</v>
      </c>
      <c r="H14" s="177">
        <f>'FY2027 RPDC Report'!K14</f>
        <v>4260859.8000000007</v>
      </c>
      <c r="I14" s="177">
        <f>'FY2027 Categoricals Report'!W14</f>
        <v>890807</v>
      </c>
      <c r="J14" s="177">
        <f>(ROUND(INDEX(Data[FY2026 Media Services],MATCH(A14,Data[Label],0))*(1+$B$6),2)+ROUND(INDEX(Data[FY2026 Ed Services],MATCH(A14,Data[Label],0))*(1+$B$6),2))*G14</f>
        <v>72694.720000000001</v>
      </c>
      <c r="K14" s="177">
        <f t="shared" si="3"/>
        <v>5224361.5200000005</v>
      </c>
      <c r="L14" s="177">
        <f t="shared" si="4"/>
        <v>9523.5200000004843</v>
      </c>
      <c r="M14" s="178">
        <f t="shared" si="5"/>
        <v>1.8262350623356822E-3</v>
      </c>
      <c r="N14" s="179">
        <f t="shared" si="0"/>
        <v>-12.199999999999932</v>
      </c>
      <c r="O14" s="180">
        <f t="shared" si="1"/>
        <v>-2.3132347364429148E-2</v>
      </c>
    </row>
    <row r="15" spans="1:15" x14ac:dyDescent="0.55000000000000004">
      <c r="A15" s="198" t="s">
        <v>8</v>
      </c>
      <c r="B15" s="181">
        <f>INDEX(Data[FY2026 Budget Enrollment],MATCH(A15,Data[Label],0))</f>
        <v>206.3</v>
      </c>
      <c r="C15" s="182">
        <f>INDEX(Data[FY2026 RPDC Total],MATCH(A15,Data[Label],0))+INDEX(Data[FY2026 RPDC Budget Guarantee],MATCH(A15,Data[Label],0))</f>
        <v>1656383</v>
      </c>
      <c r="D15" s="182">
        <f>'FY2027 Categoricals Report'!L15</f>
        <v>379058</v>
      </c>
      <c r="E15" s="182">
        <f>ROUND((INDEX(Data[FY2026 Media Services],MATCH(A15,Data[Label],0))+INDEX(Data[FY2026 Ed Services],MATCH(A15,Data[Label],0)))*B15,0)</f>
        <v>28573</v>
      </c>
      <c r="F15" s="194">
        <f t="shared" si="2"/>
        <v>2064014</v>
      </c>
      <c r="G15" s="243">
        <f>INDEX(Data[FY2027 Budget Enrollment],MATCH(A15,Data[Label],0))</f>
        <v>192.3</v>
      </c>
      <c r="H15" s="182">
        <f>'FY2027 RPDC Report'!K15</f>
        <v>1672946.7000000002</v>
      </c>
      <c r="I15" s="182">
        <f>'FY2027 Categoricals Report'!W15</f>
        <v>379058</v>
      </c>
      <c r="J15" s="182">
        <f>(ROUND(INDEX(Data[FY2026 Media Services],MATCH(A15,Data[Label],0))*(1+$B$6),2)+ROUND(INDEX(Data[FY2026 Ed Services],MATCH(A15,Data[Label],0))*(1+$B$6),2))*G15</f>
        <v>27166.221000000005</v>
      </c>
      <c r="K15" s="182">
        <f t="shared" si="3"/>
        <v>2079170.9210000001</v>
      </c>
      <c r="L15" s="182">
        <f t="shared" si="4"/>
        <v>15156.921000000089</v>
      </c>
      <c r="M15" s="178">
        <f t="shared" si="5"/>
        <v>7.3434196667271105E-3</v>
      </c>
      <c r="N15" s="184">
        <f t="shared" si="0"/>
        <v>-14</v>
      </c>
      <c r="O15" s="185">
        <f t="shared" si="1"/>
        <v>-6.786233640329617E-2</v>
      </c>
    </row>
    <row r="16" spans="1:15" x14ac:dyDescent="0.55000000000000004">
      <c r="A16" s="197" t="s">
        <v>9</v>
      </c>
      <c r="B16" s="176">
        <f>INDEX(Data[FY2026 Budget Enrollment],MATCH(A16,Data[Label],0))</f>
        <v>1080.8</v>
      </c>
      <c r="C16" s="177">
        <f>INDEX(Data[FY2026 RPDC Total],MATCH(A16,Data[Label],0))+INDEX(Data[FY2026 RPDC Budget Guarantee],MATCH(A16,Data[Label],0))</f>
        <v>8633430</v>
      </c>
      <c r="D16" s="177">
        <f>'FY2027 Categoricals Report'!L16</f>
        <v>1502828</v>
      </c>
      <c r="E16" s="177">
        <f>ROUND((INDEX(Data[FY2026 Media Services],MATCH(A16,Data[Label],0))+INDEX(Data[FY2026 Ed Services],MATCH(A16,Data[Label],0)))*B16,0)</f>
        <v>147410</v>
      </c>
      <c r="F16" s="193">
        <f t="shared" si="2"/>
        <v>10283668</v>
      </c>
      <c r="G16" s="244">
        <f>INDEX(Data[FY2027 Budget Enrollment],MATCH(A16,Data[Label],0))</f>
        <v>1074.2</v>
      </c>
      <c r="H16" s="177">
        <f>'FY2027 RPDC Report'!K16</f>
        <v>8752581.5999999996</v>
      </c>
      <c r="I16" s="177">
        <f>'FY2027 Categoricals Report'!W16</f>
        <v>1521661</v>
      </c>
      <c r="J16" s="177">
        <f>(ROUND(INDEX(Data[FY2026 Media Services],MATCH(A16,Data[Label],0))*(1+$B$6),2)+ROUND(INDEX(Data[FY2026 Ed Services],MATCH(A16,Data[Label],0))*(1+$B$6),2))*G16</f>
        <v>149442.704</v>
      </c>
      <c r="K16" s="177">
        <f t="shared" si="3"/>
        <v>10423685.304</v>
      </c>
      <c r="L16" s="177">
        <f t="shared" si="4"/>
        <v>140017.30399999954</v>
      </c>
      <c r="M16" s="178">
        <f t="shared" si="5"/>
        <v>1.3615502172960032E-2</v>
      </c>
      <c r="N16" s="179">
        <f t="shared" si="0"/>
        <v>-6.5999999999999091</v>
      </c>
      <c r="O16" s="180">
        <f t="shared" si="1"/>
        <v>-6.1065877128052455E-3</v>
      </c>
    </row>
    <row r="17" spans="1:15" x14ac:dyDescent="0.55000000000000004">
      <c r="A17" s="198" t="s">
        <v>10</v>
      </c>
      <c r="B17" s="181">
        <f>INDEX(Data[FY2026 Budget Enrollment],MATCH(A17,Data[Label],0))</f>
        <v>541.5</v>
      </c>
      <c r="C17" s="182">
        <f>INDEX(Data[FY2026 RPDC Total],MATCH(A17,Data[Label],0))+INDEX(Data[FY2026 RPDC Budget Guarantee],MATCH(A17,Data[Label],0))</f>
        <v>4325502</v>
      </c>
      <c r="D17" s="182">
        <f>'FY2027 Categoricals Report'!L17</f>
        <v>931982</v>
      </c>
      <c r="E17" s="182">
        <f>ROUND((INDEX(Data[FY2026 Media Services],MATCH(A17,Data[Label],0))+INDEX(Data[FY2026 Ed Services],MATCH(A17,Data[Label],0)))*B17,0)</f>
        <v>73882</v>
      </c>
      <c r="F17" s="194">
        <f t="shared" si="2"/>
        <v>5331366</v>
      </c>
      <c r="G17" s="243">
        <f>INDEX(Data[FY2027 Budget Enrollment],MATCH(A17,Data[Label],0))</f>
        <v>526.29999999999995</v>
      </c>
      <c r="H17" s="182">
        <f>'FY2027 RPDC Report'!K17</f>
        <v>4368757.3999999994</v>
      </c>
      <c r="I17" s="182">
        <f>'FY2027 Categoricals Report'!W17</f>
        <v>934150</v>
      </c>
      <c r="J17" s="182">
        <f>(ROUND(INDEX(Data[FY2026 Media Services],MATCH(A17,Data[Label],0))*(1+$B$6),2)+ROUND(INDEX(Data[FY2026 Ed Services],MATCH(A17,Data[Label],0))*(1+$B$6),2))*G17</f>
        <v>73245.171000000002</v>
      </c>
      <c r="K17" s="182">
        <f t="shared" si="3"/>
        <v>5376152.5709999995</v>
      </c>
      <c r="L17" s="182">
        <f t="shared" si="4"/>
        <v>44786.570999999531</v>
      </c>
      <c r="M17" s="178">
        <f t="shared" si="5"/>
        <v>8.4005808267523796E-3</v>
      </c>
      <c r="N17" s="184">
        <f t="shared" si="0"/>
        <v>-15.200000000000045</v>
      </c>
      <c r="O17" s="185">
        <f t="shared" si="1"/>
        <v>-2.8070175438596575E-2</v>
      </c>
    </row>
    <row r="18" spans="1:15" x14ac:dyDescent="0.55000000000000004">
      <c r="A18" s="197" t="s">
        <v>11</v>
      </c>
      <c r="B18" s="176">
        <f>INDEX(Data[FY2026 Budget Enrollment],MATCH(A18,Data[Label],0))</f>
        <v>253.4</v>
      </c>
      <c r="C18" s="177">
        <f>INDEX(Data[FY2026 RPDC Total],MATCH(A18,Data[Label],0))+INDEX(Data[FY2026 RPDC Budget Guarantee],MATCH(A18,Data[Label],0))</f>
        <v>2112809</v>
      </c>
      <c r="D18" s="177">
        <f>'FY2027 Categoricals Report'!L18</f>
        <v>514342</v>
      </c>
      <c r="E18" s="177">
        <f>ROUND((INDEX(Data[FY2026 Media Services],MATCH(A18,Data[Label],0))+INDEX(Data[FY2026 Ed Services],MATCH(A18,Data[Label],0)))*B18,0)</f>
        <v>34987</v>
      </c>
      <c r="F18" s="193">
        <f t="shared" si="2"/>
        <v>2662138</v>
      </c>
      <c r="G18" s="244">
        <f>INDEX(Data[FY2027 Budget Enrollment],MATCH(A18,Data[Label],0))</f>
        <v>243.2</v>
      </c>
      <c r="H18" s="177">
        <f>'FY2027 RPDC Report'!K18</f>
        <v>2044400.5999999999</v>
      </c>
      <c r="I18" s="177">
        <f>'FY2027 Categoricals Report'!W18</f>
        <v>509612</v>
      </c>
      <c r="J18" s="177">
        <f>(ROUND(INDEX(Data[FY2026 Media Services],MATCH(A18,Data[Label],0))*(1+$B$6),2)+ROUND(INDEX(Data[FY2026 Ed Services],MATCH(A18,Data[Label],0))*(1+$B$6),2))*G18</f>
        <v>34252.287999999993</v>
      </c>
      <c r="K18" s="177">
        <f t="shared" si="3"/>
        <v>2588264.8879999998</v>
      </c>
      <c r="L18" s="177">
        <f t="shared" si="4"/>
        <v>-73873.112000000197</v>
      </c>
      <c r="M18" s="178">
        <f t="shared" si="5"/>
        <v>-2.7749542660823818E-2</v>
      </c>
      <c r="N18" s="179">
        <f t="shared" si="0"/>
        <v>-10.200000000000017</v>
      </c>
      <c r="O18" s="180">
        <f t="shared" si="1"/>
        <v>-4.0252565114443632E-2</v>
      </c>
    </row>
    <row r="19" spans="1:15" x14ac:dyDescent="0.55000000000000004">
      <c r="A19" s="198" t="s">
        <v>12</v>
      </c>
      <c r="B19" s="181">
        <f>INDEX(Data[FY2026 Budget Enrollment],MATCH(A19,Data[Label],0))</f>
        <v>1447.2</v>
      </c>
      <c r="C19" s="182">
        <f>INDEX(Data[FY2026 RPDC Total],MATCH(A19,Data[Label],0))+INDEX(Data[FY2026 RPDC Budget Guarantee],MATCH(A19,Data[Label],0))</f>
        <v>11573258</v>
      </c>
      <c r="D19" s="182">
        <f>'FY2027 Categoricals Report'!L19</f>
        <v>2244628</v>
      </c>
      <c r="E19" s="182">
        <f>ROUND((INDEX(Data[FY2026 Media Services],MATCH(A19,Data[Label],0))+INDEX(Data[FY2026 Ed Services],MATCH(A19,Data[Label],0)))*B19,0)</f>
        <v>200437</v>
      </c>
      <c r="F19" s="194">
        <f t="shared" si="2"/>
        <v>14018323</v>
      </c>
      <c r="G19" s="243">
        <f>INDEX(Data[FY2027 Budget Enrollment],MATCH(A19,Data[Label],0))</f>
        <v>1422.1</v>
      </c>
      <c r="H19" s="182">
        <f>'FY2027 RPDC Report'!K19</f>
        <v>11688990.699999999</v>
      </c>
      <c r="I19" s="182">
        <f>'FY2027 Categoricals Report'!W19</f>
        <v>2373958</v>
      </c>
      <c r="J19" s="182">
        <f>(ROUND(INDEX(Data[FY2026 Media Services],MATCH(A19,Data[Label],0))*(1+$B$6),2)+ROUND(INDEX(Data[FY2026 Ed Services],MATCH(A19,Data[Label],0))*(1+$B$6),2))*G19</f>
        <v>200900.06700000001</v>
      </c>
      <c r="K19" s="182">
        <f t="shared" si="3"/>
        <v>14263848.766999999</v>
      </c>
      <c r="L19" s="182">
        <f t="shared" si="4"/>
        <v>245525.76699999906</v>
      </c>
      <c r="M19" s="178">
        <f t="shared" si="5"/>
        <v>1.7514631885711226E-2</v>
      </c>
      <c r="N19" s="184">
        <f t="shared" si="0"/>
        <v>-25.100000000000136</v>
      </c>
      <c r="O19" s="185">
        <f t="shared" si="1"/>
        <v>-1.7343836373687214E-2</v>
      </c>
    </row>
    <row r="20" spans="1:15" x14ac:dyDescent="0.55000000000000004">
      <c r="A20" s="197" t="s">
        <v>13</v>
      </c>
      <c r="B20" s="176">
        <f>INDEX(Data[FY2026 Budget Enrollment],MATCH(A20,Data[Label],0))</f>
        <v>1104.7</v>
      </c>
      <c r="C20" s="177">
        <f>INDEX(Data[FY2026 RPDC Total],MATCH(A20,Data[Label],0))+INDEX(Data[FY2026 RPDC Budget Guarantee],MATCH(A20,Data[Label],0))</f>
        <v>8870741</v>
      </c>
      <c r="D20" s="177">
        <f>'FY2027 Categoricals Report'!L20</f>
        <v>1811534</v>
      </c>
      <c r="E20" s="177">
        <f>ROUND((INDEX(Data[FY2026 Media Services],MATCH(A20,Data[Label],0))+INDEX(Data[FY2026 Ed Services],MATCH(A20,Data[Label],0)))*B20,0)</f>
        <v>152393</v>
      </c>
      <c r="F20" s="193">
        <f t="shared" si="2"/>
        <v>10834668</v>
      </c>
      <c r="G20" s="244">
        <f>INDEX(Data[FY2027 Budget Enrollment],MATCH(A20,Data[Label],0))</f>
        <v>1090.5</v>
      </c>
      <c r="H20" s="177">
        <f>'FY2027 RPDC Report'!K20</f>
        <v>8959448</v>
      </c>
      <c r="I20" s="177">
        <f>'FY2027 Categoricals Report'!W20</f>
        <v>1824069</v>
      </c>
      <c r="J20" s="177">
        <f>(ROUND(INDEX(Data[FY2026 Media Services],MATCH(A20,Data[Label],0))*(1+$B$6),2)+ROUND(INDEX(Data[FY2026 Ed Services],MATCH(A20,Data[Label],0))*(1+$B$6),2))*G20</f>
        <v>153444.25499999998</v>
      </c>
      <c r="K20" s="177">
        <f t="shared" si="3"/>
        <v>10936961.254999999</v>
      </c>
      <c r="L20" s="177">
        <f t="shared" si="4"/>
        <v>102293.25499999896</v>
      </c>
      <c r="M20" s="178">
        <f t="shared" si="5"/>
        <v>9.4412911406236873E-3</v>
      </c>
      <c r="N20" s="179">
        <f t="shared" si="0"/>
        <v>-14.200000000000045</v>
      </c>
      <c r="O20" s="180">
        <f t="shared" si="1"/>
        <v>-1.2854168552548244E-2</v>
      </c>
    </row>
    <row r="21" spans="1:15" x14ac:dyDescent="0.55000000000000004">
      <c r="A21" s="198" t="s">
        <v>14</v>
      </c>
      <c r="B21" s="181">
        <f>INDEX(Data[FY2026 Budget Enrollment],MATCH(A21,Data[Label],0))</f>
        <v>855.6</v>
      </c>
      <c r="C21" s="182">
        <f>INDEX(Data[FY2026 RPDC Total],MATCH(A21,Data[Label],0))+INDEX(Data[FY2026 RPDC Budget Guarantee],MATCH(A21,Data[Label],0))</f>
        <v>6834533</v>
      </c>
      <c r="D21" s="182">
        <f>'FY2027 Categoricals Report'!L21</f>
        <v>1461089</v>
      </c>
      <c r="E21" s="182">
        <f>ROUND((INDEX(Data[FY2026 Media Services],MATCH(A21,Data[Label],0))+INDEX(Data[FY2026 Ed Services],MATCH(A21,Data[Label],0)))*B21,0)</f>
        <v>118501</v>
      </c>
      <c r="F21" s="194">
        <f t="shared" si="2"/>
        <v>8414123</v>
      </c>
      <c r="G21" s="243">
        <f>INDEX(Data[FY2027 Budget Enrollment],MATCH(A21,Data[Label],0))</f>
        <v>887.3</v>
      </c>
      <c r="H21" s="182">
        <f>'FY2027 RPDC Report'!K21</f>
        <v>7229720.3999999994</v>
      </c>
      <c r="I21" s="182">
        <f>'FY2027 Categoricals Report'!W21</f>
        <v>1534889</v>
      </c>
      <c r="J21" s="182">
        <f>(ROUND(INDEX(Data[FY2026 Media Services],MATCH(A21,Data[Label],0))*(1+$B$6),2)+ROUND(INDEX(Data[FY2026 Ed Services],MATCH(A21,Data[Label],0))*(1+$B$6),2))*G21</f>
        <v>125348.871</v>
      </c>
      <c r="K21" s="182">
        <f t="shared" si="3"/>
        <v>8889958.2709999997</v>
      </c>
      <c r="L21" s="182">
        <f t="shared" si="4"/>
        <v>475835.27099999972</v>
      </c>
      <c r="M21" s="178">
        <f t="shared" si="5"/>
        <v>5.655197469777893E-2</v>
      </c>
      <c r="N21" s="184">
        <f t="shared" si="0"/>
        <v>31.699999999999932</v>
      </c>
      <c r="O21" s="185">
        <f t="shared" si="1"/>
        <v>3.705002337540899E-2</v>
      </c>
    </row>
    <row r="22" spans="1:15" x14ac:dyDescent="0.55000000000000004">
      <c r="A22" s="197" t="s">
        <v>15</v>
      </c>
      <c r="B22" s="176">
        <f>INDEX(Data[FY2026 Budget Enrollment],MATCH(A22,Data[Label],0))</f>
        <v>4534</v>
      </c>
      <c r="C22" s="177">
        <f>INDEX(Data[FY2026 RPDC Total],MATCH(A22,Data[Label],0))+INDEX(Data[FY2026 RPDC Budget Guarantee],MATCH(A22,Data[Label],0))</f>
        <v>36444292</v>
      </c>
      <c r="D22" s="177">
        <f>'FY2027 Categoricals Report'!L22</f>
        <v>6002220</v>
      </c>
      <c r="E22" s="177">
        <f>ROUND((INDEX(Data[FY2026 Media Services],MATCH(A22,Data[Label],0))+INDEX(Data[FY2026 Ed Services],MATCH(A22,Data[Label],0)))*B22,0)</f>
        <v>617259</v>
      </c>
      <c r="F22" s="193">
        <f t="shared" si="2"/>
        <v>43063771</v>
      </c>
      <c r="G22" s="244">
        <f>INDEX(Data[FY2027 Budget Enrollment],MATCH(A22,Data[Label],0))</f>
        <v>4468.8999999999996</v>
      </c>
      <c r="H22" s="177">
        <f>'FY2027 RPDC Report'!K22</f>
        <v>36808735.199999996</v>
      </c>
      <c r="I22" s="177">
        <f>'FY2027 Categoricals Report'!W22</f>
        <v>6080157</v>
      </c>
      <c r="J22" s="177">
        <f>(ROUND(INDEX(Data[FY2026 Media Services],MATCH(A22,Data[Label],0))*(1+$B$6),2)+ROUND(INDEX(Data[FY2026 Ed Services],MATCH(A22,Data[Label],0))*(1+$B$6),2))*G22</f>
        <v>620596.14299999992</v>
      </c>
      <c r="K22" s="177">
        <f t="shared" si="3"/>
        <v>43509488.342999995</v>
      </c>
      <c r="L22" s="177">
        <f t="shared" si="4"/>
        <v>445717.34299999475</v>
      </c>
      <c r="M22" s="178">
        <f t="shared" si="5"/>
        <v>1.0350169821402654E-2</v>
      </c>
      <c r="N22" s="179">
        <f t="shared" si="0"/>
        <v>-65.100000000000364</v>
      </c>
      <c r="O22" s="180">
        <f t="shared" si="1"/>
        <v>-1.4358182620202992E-2</v>
      </c>
    </row>
    <row r="23" spans="1:15" x14ac:dyDescent="0.55000000000000004">
      <c r="A23" s="198" t="s">
        <v>16</v>
      </c>
      <c r="B23" s="181">
        <f>INDEX(Data[FY2026 Budget Enrollment],MATCH(A23,Data[Label],0))</f>
        <v>1202.2</v>
      </c>
      <c r="C23" s="182">
        <f>INDEX(Data[FY2026 RPDC Total],MATCH(A23,Data[Label],0))+INDEX(Data[FY2026 RPDC Budget Guarantee],MATCH(A23,Data[Label],0))</f>
        <v>9934074</v>
      </c>
      <c r="D23" s="182">
        <f>'FY2027 Categoricals Report'!L23</f>
        <v>2001688</v>
      </c>
      <c r="E23" s="182">
        <f>ROUND((INDEX(Data[FY2026 Media Services],MATCH(A23,Data[Label],0))+INDEX(Data[FY2026 Ed Services],MATCH(A23,Data[Label],0)))*B23,0)</f>
        <v>164028</v>
      </c>
      <c r="F23" s="194">
        <f t="shared" si="2"/>
        <v>12099790</v>
      </c>
      <c r="G23" s="243">
        <f>INDEX(Data[FY2027 Budget Enrollment],MATCH(A23,Data[Label],0))</f>
        <v>1199.7</v>
      </c>
      <c r="H23" s="182">
        <f>'FY2027 RPDC Report'!K23</f>
        <v>9775155.5999999996</v>
      </c>
      <c r="I23" s="182">
        <f>'FY2027 Categoricals Report'!W23</f>
        <v>2057376</v>
      </c>
      <c r="J23" s="182">
        <f>(ROUND(INDEX(Data[FY2026 Media Services],MATCH(A23,Data[Label],0))*(1+$B$6),2)+ROUND(INDEX(Data[FY2026 Ed Services],MATCH(A23,Data[Label],0))*(1+$B$6),2))*G23</f>
        <v>166962.24900000004</v>
      </c>
      <c r="K23" s="182">
        <f t="shared" si="3"/>
        <v>11999493.848999999</v>
      </c>
      <c r="L23" s="182">
        <f t="shared" si="4"/>
        <v>-100296.15100000054</v>
      </c>
      <c r="M23" s="178">
        <f t="shared" si="5"/>
        <v>-8.289081959273718E-3</v>
      </c>
      <c r="N23" s="184">
        <f t="shared" si="0"/>
        <v>-2.5</v>
      </c>
      <c r="O23" s="185">
        <f t="shared" si="1"/>
        <v>-2.0795208783896189E-3</v>
      </c>
    </row>
    <row r="24" spans="1:15" x14ac:dyDescent="0.55000000000000004">
      <c r="A24" s="197" t="s">
        <v>17</v>
      </c>
      <c r="B24" s="176">
        <f>INDEX(Data[FY2026 Budget Enrollment],MATCH(A24,Data[Label],0))</f>
        <v>217.3</v>
      </c>
      <c r="C24" s="177">
        <f>INDEX(Data[FY2026 RPDC Total],MATCH(A24,Data[Label],0))+INDEX(Data[FY2026 RPDC Budget Guarantee],MATCH(A24,Data[Label],0))</f>
        <v>1761472</v>
      </c>
      <c r="D24" s="177">
        <f>'FY2027 Categoricals Report'!L24</f>
        <v>450447</v>
      </c>
      <c r="E24" s="177">
        <f>ROUND((INDEX(Data[FY2026 Media Services],MATCH(A24,Data[Label],0))+INDEX(Data[FY2026 Ed Services],MATCH(A24,Data[Label],0)))*B24,0)</f>
        <v>29479</v>
      </c>
      <c r="F24" s="193">
        <f t="shared" si="2"/>
        <v>2241398</v>
      </c>
      <c r="G24" s="244">
        <f>INDEX(Data[FY2027 Budget Enrollment],MATCH(A24,Data[Label],0))</f>
        <v>219</v>
      </c>
      <c r="H24" s="177">
        <f>'FY2027 RPDC Report'!K24</f>
        <v>1789887</v>
      </c>
      <c r="I24" s="177">
        <f>'FY2027 Categoricals Report'!W24</f>
        <v>478724</v>
      </c>
      <c r="J24" s="177">
        <f>(ROUND(INDEX(Data[FY2026 Media Services],MATCH(A24,Data[Label],0))*(1+$B$6),2)+ROUND(INDEX(Data[FY2026 Ed Services],MATCH(A24,Data[Label],0))*(1+$B$6),2))*G24</f>
        <v>30305.219999999998</v>
      </c>
      <c r="K24" s="177">
        <f t="shared" si="3"/>
        <v>2298916.2199999997</v>
      </c>
      <c r="L24" s="177">
        <f t="shared" si="4"/>
        <v>57518.219999999739</v>
      </c>
      <c r="M24" s="178">
        <f t="shared" si="5"/>
        <v>2.5661761097315043E-2</v>
      </c>
      <c r="N24" s="179">
        <f t="shared" si="0"/>
        <v>1.6999999999999886</v>
      </c>
      <c r="O24" s="180">
        <f t="shared" si="1"/>
        <v>7.8232857800275592E-3</v>
      </c>
    </row>
    <row r="25" spans="1:15" x14ac:dyDescent="0.55000000000000004">
      <c r="A25" s="198" t="s">
        <v>18</v>
      </c>
      <c r="B25" s="181">
        <f>INDEX(Data[FY2026 Budget Enrollment],MATCH(A25,Data[Label],0))</f>
        <v>12753.8</v>
      </c>
      <c r="C25" s="182">
        <f>INDEX(Data[FY2026 RPDC Total],MATCH(A25,Data[Label],0))+INDEX(Data[FY2026 RPDC Budget Guarantee],MATCH(A25,Data[Label],0))</f>
        <v>101877354</v>
      </c>
      <c r="D25" s="182">
        <f>'FY2027 Categoricals Report'!L25</f>
        <v>16824442</v>
      </c>
      <c r="E25" s="182">
        <f>ROUND((INDEX(Data[FY2026 Media Services],MATCH(A25,Data[Label],0))+INDEX(Data[FY2026 Ed Services],MATCH(A25,Data[Label],0)))*B25,0)</f>
        <v>1736302</v>
      </c>
      <c r="F25" s="194">
        <f t="shared" si="2"/>
        <v>120438098</v>
      </c>
      <c r="G25" s="243">
        <f>INDEX(Data[FY2027 Budget Enrollment],MATCH(A25,Data[Label],0))</f>
        <v>12682</v>
      </c>
      <c r="H25" s="182">
        <f>'FY2027 RPDC Report'!K25</f>
        <v>103332936</v>
      </c>
      <c r="I25" s="182">
        <f>'FY2027 Categoricals Report'!W25</f>
        <v>17764245</v>
      </c>
      <c r="J25" s="182">
        <f>(ROUND(INDEX(Data[FY2026 Media Services],MATCH(A25,Data[Label],0))*(1+$B$6),2)+ROUND(INDEX(Data[FY2026 Ed Services],MATCH(A25,Data[Label],0))*(1+$B$6),2))*G25</f>
        <v>1761149.34</v>
      </c>
      <c r="K25" s="182">
        <f t="shared" si="3"/>
        <v>122858330.34</v>
      </c>
      <c r="L25" s="182">
        <f t="shared" si="4"/>
        <v>2420232.3400000036</v>
      </c>
      <c r="M25" s="178">
        <f t="shared" si="5"/>
        <v>2.0095238800599487E-2</v>
      </c>
      <c r="N25" s="184">
        <f t="shared" si="0"/>
        <v>-71.799999999999272</v>
      </c>
      <c r="O25" s="185">
        <f t="shared" si="1"/>
        <v>-5.6296946792327995E-3</v>
      </c>
    </row>
    <row r="26" spans="1:15" x14ac:dyDescent="0.55000000000000004">
      <c r="A26" s="197" t="s">
        <v>19</v>
      </c>
      <c r="B26" s="176">
        <f>INDEX(Data[FY2026 Budget Enrollment],MATCH(A26,Data[Label],0))</f>
        <v>794.2</v>
      </c>
      <c r="C26" s="177">
        <f>INDEX(Data[FY2026 RPDC Total],MATCH(A26,Data[Label],0))+INDEX(Data[FY2026 RPDC Budget Guarantee],MATCH(A26,Data[Label],0))</f>
        <v>6344070</v>
      </c>
      <c r="D26" s="177">
        <f>'FY2027 Categoricals Report'!L26</f>
        <v>1286088</v>
      </c>
      <c r="E26" s="177">
        <f>ROUND((INDEX(Data[FY2026 Media Services],MATCH(A26,Data[Label],0))+INDEX(Data[FY2026 Ed Services],MATCH(A26,Data[Label],0)))*B26,0)</f>
        <v>109655</v>
      </c>
      <c r="F26" s="193">
        <f t="shared" si="2"/>
        <v>7739813</v>
      </c>
      <c r="G26" s="244">
        <f>INDEX(Data[FY2027 Budget Enrollment],MATCH(A26,Data[Label],0))</f>
        <v>775</v>
      </c>
      <c r="H26" s="177">
        <f>'FY2027 RPDC Report'!K26</f>
        <v>6407511</v>
      </c>
      <c r="I26" s="177">
        <f>'FY2027 Categoricals Report'!W26</f>
        <v>1286088</v>
      </c>
      <c r="J26" s="177">
        <f>(ROUND(INDEX(Data[FY2026 Media Services],MATCH(A26,Data[Label],0))*(1+$B$6),2)+ROUND(INDEX(Data[FY2026 Ed Services],MATCH(A26,Data[Label],0))*(1+$B$6),2))*G26</f>
        <v>109150.99999999999</v>
      </c>
      <c r="K26" s="177">
        <f t="shared" si="3"/>
        <v>7802750</v>
      </c>
      <c r="L26" s="177">
        <f t="shared" si="4"/>
        <v>62937</v>
      </c>
      <c r="M26" s="178">
        <f t="shared" si="5"/>
        <v>8.131591809776283E-3</v>
      </c>
      <c r="N26" s="179">
        <f t="shared" si="0"/>
        <v>-19.200000000000045</v>
      </c>
      <c r="O26" s="180">
        <f t="shared" si="1"/>
        <v>-2.4175270712666889E-2</v>
      </c>
    </row>
    <row r="27" spans="1:15" x14ac:dyDescent="0.55000000000000004">
      <c r="A27" s="198" t="s">
        <v>20</v>
      </c>
      <c r="B27" s="181">
        <f>INDEX(Data[FY2026 Budget Enrollment],MATCH(A27,Data[Label],0))</f>
        <v>281.7</v>
      </c>
      <c r="C27" s="182">
        <f>INDEX(Data[FY2026 RPDC Total],MATCH(A27,Data[Label],0))+INDEX(Data[FY2026 RPDC Budget Guarantee],MATCH(A27,Data[Label],0))</f>
        <v>2313577</v>
      </c>
      <c r="D27" s="182">
        <f>'FY2027 Categoricals Report'!L27</f>
        <v>611107</v>
      </c>
      <c r="E27" s="182">
        <f>ROUND((INDEX(Data[FY2026 Media Services],MATCH(A27,Data[Label],0))+INDEX(Data[FY2026 Ed Services],MATCH(A27,Data[Label],0)))*B27,0)</f>
        <v>38968</v>
      </c>
      <c r="F27" s="194">
        <f t="shared" si="2"/>
        <v>2963652</v>
      </c>
      <c r="G27" s="243">
        <f>INDEX(Data[FY2027 Budget Enrollment],MATCH(A27,Data[Label],0))</f>
        <v>267.60000000000002</v>
      </c>
      <c r="H27" s="182">
        <f>'FY2027 RPDC Report'!K27</f>
        <v>2272721.8000000003</v>
      </c>
      <c r="I27" s="182">
        <f>'FY2027 Categoricals Report'!W27</f>
        <v>611107</v>
      </c>
      <c r="J27" s="182">
        <f>(ROUND(INDEX(Data[FY2026 Media Services],MATCH(A27,Data[Label],0))*(1+$B$6),2)+ROUND(INDEX(Data[FY2026 Ed Services],MATCH(A27,Data[Label],0))*(1+$B$6),2))*G27</f>
        <v>37758.36</v>
      </c>
      <c r="K27" s="182">
        <f t="shared" si="3"/>
        <v>2921587.16</v>
      </c>
      <c r="L27" s="182">
        <f t="shared" si="4"/>
        <v>-42064.839999999851</v>
      </c>
      <c r="M27" s="178">
        <f t="shared" si="5"/>
        <v>-1.4193582782323921E-2</v>
      </c>
      <c r="N27" s="184">
        <f t="shared" si="0"/>
        <v>-14.099999999999966</v>
      </c>
      <c r="O27" s="185">
        <f t="shared" si="1"/>
        <v>-5.0053248136315107E-2</v>
      </c>
    </row>
    <row r="28" spans="1:15" x14ac:dyDescent="0.55000000000000004">
      <c r="A28" s="197" t="s">
        <v>21</v>
      </c>
      <c r="B28" s="176">
        <f>INDEX(Data[FY2026 Budget Enrollment],MATCH(A28,Data[Label],0))</f>
        <v>1452.3</v>
      </c>
      <c r="C28" s="177">
        <f>INDEX(Data[FY2026 RPDC Total],MATCH(A28,Data[Label],0))+INDEX(Data[FY2026 RPDC Budget Guarantee],MATCH(A28,Data[Label],0))</f>
        <v>11600972</v>
      </c>
      <c r="D28" s="177">
        <f>'FY2027 Categoricals Report'!L28</f>
        <v>2067175</v>
      </c>
      <c r="E28" s="177">
        <f>ROUND((INDEX(Data[FY2026 Media Services],MATCH(A28,Data[Label],0))+INDEX(Data[FY2026 Ed Services],MATCH(A28,Data[Label],0)))*B28,0)</f>
        <v>198747</v>
      </c>
      <c r="F28" s="193">
        <f t="shared" si="2"/>
        <v>13866894</v>
      </c>
      <c r="G28" s="244">
        <f>INDEX(Data[FY2027 Budget Enrollment],MATCH(A28,Data[Label],0))</f>
        <v>1375.2</v>
      </c>
      <c r="H28" s="177">
        <f>'FY2027 RPDC Report'!K28</f>
        <v>11716981.6</v>
      </c>
      <c r="I28" s="177">
        <f>'FY2027 Categoricals Report'!W28</f>
        <v>2067175</v>
      </c>
      <c r="J28" s="177">
        <f>(ROUND(INDEX(Data[FY2026 Media Services],MATCH(A28,Data[Label],0))*(1+$B$6),2)+ROUND(INDEX(Data[FY2026 Ed Services],MATCH(A28,Data[Label],0))*(1+$B$6),2))*G28</f>
        <v>191964.16800000001</v>
      </c>
      <c r="K28" s="177">
        <f t="shared" si="3"/>
        <v>13976120.767999999</v>
      </c>
      <c r="L28" s="177">
        <f t="shared" si="4"/>
        <v>109226.76799999923</v>
      </c>
      <c r="M28" s="178">
        <f t="shared" si="5"/>
        <v>7.8768012505179043E-3</v>
      </c>
      <c r="N28" s="179">
        <f t="shared" si="0"/>
        <v>-77.099999999999909</v>
      </c>
      <c r="O28" s="180">
        <f t="shared" si="1"/>
        <v>-5.3088204916339539E-2</v>
      </c>
    </row>
    <row r="29" spans="1:15" x14ac:dyDescent="0.55000000000000004">
      <c r="A29" s="198" t="s">
        <v>22</v>
      </c>
      <c r="B29" s="181">
        <f>INDEX(Data[FY2026 Budget Enrollment],MATCH(A29,Data[Label],0))</f>
        <v>494.5</v>
      </c>
      <c r="C29" s="182">
        <f>INDEX(Data[FY2026 RPDC Total],MATCH(A29,Data[Label],0))+INDEX(Data[FY2026 RPDC Budget Guarantee],MATCH(A29,Data[Label],0))</f>
        <v>4057811</v>
      </c>
      <c r="D29" s="182">
        <f>'FY2027 Categoricals Report'!L29</f>
        <v>849585</v>
      </c>
      <c r="E29" s="182">
        <f>ROUND((INDEX(Data[FY2026 Media Services],MATCH(A29,Data[Label],0))+INDEX(Data[FY2026 Ed Services],MATCH(A29,Data[Label],0)))*B29,0)</f>
        <v>67321</v>
      </c>
      <c r="F29" s="194">
        <f t="shared" si="2"/>
        <v>4974717</v>
      </c>
      <c r="G29" s="243">
        <f>INDEX(Data[FY2027 Budget Enrollment],MATCH(A29,Data[Label],0))</f>
        <v>521.1</v>
      </c>
      <c r="H29" s="182">
        <f>'FY2027 RPDC Report'!K29</f>
        <v>4266245.7</v>
      </c>
      <c r="I29" s="182">
        <f>'FY2027 Categoricals Report'!W29</f>
        <v>908374</v>
      </c>
      <c r="J29" s="182">
        <f>(ROUND(INDEX(Data[FY2026 Media Services],MATCH(A29,Data[Label],0))*(1+$B$6),2)+ROUND(INDEX(Data[FY2026 Ed Services],MATCH(A29,Data[Label],0))*(1+$B$6),2))*G29</f>
        <v>72365.157000000007</v>
      </c>
      <c r="K29" s="182">
        <f t="shared" si="3"/>
        <v>5246984.8569999998</v>
      </c>
      <c r="L29" s="182">
        <f t="shared" si="4"/>
        <v>272267.85699999984</v>
      </c>
      <c r="M29" s="178">
        <f t="shared" si="5"/>
        <v>5.4730320739853108E-2</v>
      </c>
      <c r="N29" s="184">
        <f t="shared" si="0"/>
        <v>26.600000000000023</v>
      </c>
      <c r="O29" s="185">
        <f t="shared" si="1"/>
        <v>5.3791708796764454E-2</v>
      </c>
    </row>
    <row r="30" spans="1:15" x14ac:dyDescent="0.55000000000000004">
      <c r="A30" s="197" t="s">
        <v>23</v>
      </c>
      <c r="B30" s="176">
        <f>INDEX(Data[FY2026 Budget Enrollment],MATCH(A30,Data[Label],0))</f>
        <v>443</v>
      </c>
      <c r="C30" s="177">
        <f>INDEX(Data[FY2026 RPDC Total],MATCH(A30,Data[Label],0))+INDEX(Data[FY2026 RPDC Budget Guarantee],MATCH(A30,Data[Label],0))</f>
        <v>3556847</v>
      </c>
      <c r="D30" s="177">
        <f>'FY2027 Categoricals Report'!L30</f>
        <v>834787</v>
      </c>
      <c r="E30" s="177">
        <f>ROUND((INDEX(Data[FY2026 Media Services],MATCH(A30,Data[Label],0))+INDEX(Data[FY2026 Ed Services],MATCH(A30,Data[Label],0)))*B30,0)</f>
        <v>61165</v>
      </c>
      <c r="F30" s="193">
        <f t="shared" si="2"/>
        <v>4452799</v>
      </c>
      <c r="G30" s="244">
        <f>INDEX(Data[FY2027 Budget Enrollment],MATCH(A30,Data[Label],0))</f>
        <v>431.1</v>
      </c>
      <c r="H30" s="177">
        <f>'FY2027 RPDC Report'!K30</f>
        <v>3592415.9000000004</v>
      </c>
      <c r="I30" s="177">
        <f>'FY2027 Categoricals Report'!W30</f>
        <v>834787</v>
      </c>
      <c r="J30" s="177">
        <f>(ROUND(INDEX(Data[FY2026 Media Services],MATCH(A30,Data[Label],0))*(1+$B$6),2)+ROUND(INDEX(Data[FY2026 Ed Services],MATCH(A30,Data[Label],0))*(1+$B$6),2))*G30</f>
        <v>60716.123999999989</v>
      </c>
      <c r="K30" s="177">
        <f t="shared" si="3"/>
        <v>4487919.0240000002</v>
      </c>
      <c r="L30" s="177">
        <f t="shared" si="4"/>
        <v>35120.024000000209</v>
      </c>
      <c r="M30" s="178">
        <f t="shared" si="5"/>
        <v>7.8871792775735469E-3</v>
      </c>
      <c r="N30" s="179">
        <f t="shared" si="0"/>
        <v>-11.899999999999977</v>
      </c>
      <c r="O30" s="180">
        <f t="shared" si="1"/>
        <v>-2.6862302483069925E-2</v>
      </c>
    </row>
    <row r="31" spans="1:15" x14ac:dyDescent="0.55000000000000004">
      <c r="A31" s="198" t="s">
        <v>24</v>
      </c>
      <c r="B31" s="181">
        <f>INDEX(Data[FY2026 Budget Enrollment],MATCH(A31,Data[Label],0))</f>
        <v>1767.4</v>
      </c>
      <c r="C31" s="182">
        <f>INDEX(Data[FY2026 RPDC Total],MATCH(A31,Data[Label],0))+INDEX(Data[FY2026 RPDC Budget Guarantee],MATCH(A31,Data[Label],0))</f>
        <v>14117991</v>
      </c>
      <c r="D31" s="182">
        <f>'FY2027 Categoricals Report'!L31</f>
        <v>2375092</v>
      </c>
      <c r="E31" s="182">
        <f>ROUND((INDEX(Data[FY2026 Media Services],MATCH(A31,Data[Label],0))+INDEX(Data[FY2026 Ed Services],MATCH(A31,Data[Label],0)))*B31,0)</f>
        <v>240614</v>
      </c>
      <c r="F31" s="194">
        <f t="shared" si="2"/>
        <v>16733697</v>
      </c>
      <c r="G31" s="243">
        <f>INDEX(Data[FY2027 Budget Enrollment],MATCH(A31,Data[Label],0))</f>
        <v>1767.7</v>
      </c>
      <c r="H31" s="182">
        <f>'FY2027 RPDC Report'!K31</f>
        <v>14403219.6</v>
      </c>
      <c r="I31" s="182">
        <f>'FY2027 Categoricals Report'!W31</f>
        <v>2421224</v>
      </c>
      <c r="J31" s="182">
        <f>(ROUND(INDEX(Data[FY2026 Media Services],MATCH(A31,Data[Label],0))*(1+$B$6),2)+ROUND(INDEX(Data[FY2026 Ed Services],MATCH(A31,Data[Label],0))*(1+$B$6),2))*G31</f>
        <v>245480.49900000001</v>
      </c>
      <c r="K31" s="182">
        <f t="shared" si="3"/>
        <v>17069924.098999999</v>
      </c>
      <c r="L31" s="182">
        <f t="shared" si="4"/>
        <v>336227.09899999946</v>
      </c>
      <c r="M31" s="178">
        <f t="shared" si="5"/>
        <v>2.0092816249750397E-2</v>
      </c>
      <c r="N31" s="184">
        <f t="shared" si="0"/>
        <v>0.29999999999995453</v>
      </c>
      <c r="O31" s="185">
        <f t="shared" si="1"/>
        <v>1.6974086228355466E-4</v>
      </c>
    </row>
    <row r="32" spans="1:15" x14ac:dyDescent="0.55000000000000004">
      <c r="A32" s="197" t="s">
        <v>25</v>
      </c>
      <c r="B32" s="176">
        <f>INDEX(Data[FY2026 Budget Enrollment],MATCH(A32,Data[Label],0))</f>
        <v>341.1</v>
      </c>
      <c r="C32" s="177">
        <f>INDEX(Data[FY2026 RPDC Total],MATCH(A32,Data[Label],0))+INDEX(Data[FY2026 RPDC Budget Guarantee],MATCH(A32,Data[Label],0))</f>
        <v>2724707</v>
      </c>
      <c r="D32" s="177">
        <f>'FY2027 Categoricals Report'!L32</f>
        <v>744011</v>
      </c>
      <c r="E32" s="177">
        <f>ROUND((INDEX(Data[FY2026 Media Services],MATCH(A32,Data[Label],0))+INDEX(Data[FY2026 Ed Services],MATCH(A32,Data[Label],0)))*B32,0)</f>
        <v>46437</v>
      </c>
      <c r="F32" s="193">
        <f t="shared" si="2"/>
        <v>3515155</v>
      </c>
      <c r="G32" s="244">
        <f>INDEX(Data[FY2027 Budget Enrollment],MATCH(A32,Data[Label],0))</f>
        <v>347.1</v>
      </c>
      <c r="H32" s="177">
        <f>'FY2027 RPDC Report'!K32</f>
        <v>2828170.8000000003</v>
      </c>
      <c r="I32" s="177">
        <f>'FY2027 Categoricals Report'!W32</f>
        <v>759075</v>
      </c>
      <c r="J32" s="177">
        <f>(ROUND(INDEX(Data[FY2026 Media Services],MATCH(A32,Data[Label],0))*(1+$B$6),2)+ROUND(INDEX(Data[FY2026 Ed Services],MATCH(A32,Data[Label],0))*(1+$B$6),2))*G32</f>
        <v>48201.777000000002</v>
      </c>
      <c r="K32" s="177">
        <f t="shared" si="3"/>
        <v>3635447.5770000005</v>
      </c>
      <c r="L32" s="177">
        <f t="shared" si="4"/>
        <v>120292.57700000051</v>
      </c>
      <c r="M32" s="178">
        <f t="shared" si="5"/>
        <v>3.4221130220431391E-2</v>
      </c>
      <c r="N32" s="179">
        <f t="shared" si="0"/>
        <v>6</v>
      </c>
      <c r="O32" s="180">
        <f t="shared" si="1"/>
        <v>1.7590149516270887E-2</v>
      </c>
    </row>
    <row r="33" spans="1:15" x14ac:dyDescent="0.55000000000000004">
      <c r="A33" s="198" t="s">
        <v>26</v>
      </c>
      <c r="B33" s="181">
        <f>INDEX(Data[FY2026 Budget Enrollment],MATCH(A33,Data[Label],0))</f>
        <v>498.5</v>
      </c>
      <c r="C33" s="182">
        <f>INDEX(Data[FY2026 RPDC Total],MATCH(A33,Data[Label],0))+INDEX(Data[FY2026 RPDC Budget Guarantee],MATCH(A33,Data[Label],0))</f>
        <v>4039077</v>
      </c>
      <c r="D33" s="182">
        <f>'FY2027 Categoricals Report'!L33</f>
        <v>757136</v>
      </c>
      <c r="E33" s="182">
        <f>ROUND((INDEX(Data[FY2026 Media Services],MATCH(A33,Data[Label],0))+INDEX(Data[FY2026 Ed Services],MATCH(A33,Data[Label],0)))*B33,0)</f>
        <v>68220</v>
      </c>
      <c r="F33" s="194">
        <f t="shared" si="2"/>
        <v>4864433</v>
      </c>
      <c r="G33" s="243">
        <f>INDEX(Data[FY2027 Budget Enrollment],MATCH(A33,Data[Label],0))</f>
        <v>511.3</v>
      </c>
      <c r="H33" s="182">
        <f>'FY2027 RPDC Report'!K33</f>
        <v>4166072.4</v>
      </c>
      <c r="I33" s="182">
        <f>'FY2027 Categoricals Report'!W33</f>
        <v>788752</v>
      </c>
      <c r="J33" s="182">
        <f>(ROUND(INDEX(Data[FY2026 Media Services],MATCH(A33,Data[Label],0))*(1+$B$6),2)+ROUND(INDEX(Data[FY2026 Ed Services],MATCH(A33,Data[Label],0))*(1+$B$6),2))*G33</f>
        <v>71372.366999999998</v>
      </c>
      <c r="K33" s="182">
        <f t="shared" si="3"/>
        <v>5026196.767</v>
      </c>
      <c r="L33" s="182">
        <f t="shared" si="4"/>
        <v>161763.76699999999</v>
      </c>
      <c r="M33" s="178">
        <f t="shared" si="5"/>
        <v>3.3254393060815103E-2</v>
      </c>
      <c r="N33" s="184">
        <f t="shared" si="0"/>
        <v>12.800000000000011</v>
      </c>
      <c r="O33" s="185">
        <f t="shared" si="1"/>
        <v>2.5677031093279862E-2</v>
      </c>
    </row>
    <row r="34" spans="1:15" x14ac:dyDescent="0.55000000000000004">
      <c r="A34" s="197" t="s">
        <v>27</v>
      </c>
      <c r="B34" s="176">
        <f>INDEX(Data[FY2026 Budget Enrollment],MATCH(A34,Data[Label],0))</f>
        <v>466.6</v>
      </c>
      <c r="C34" s="177">
        <f>INDEX(Data[FY2026 RPDC Total],MATCH(A34,Data[Label],0))+INDEX(Data[FY2026 RPDC Budget Guarantee],MATCH(A34,Data[Label],0))</f>
        <v>3746619</v>
      </c>
      <c r="D34" s="177">
        <f>'FY2027 Categoricals Report'!L34</f>
        <v>880860</v>
      </c>
      <c r="E34" s="177">
        <f>ROUND((INDEX(Data[FY2026 Media Services],MATCH(A34,Data[Label],0))+INDEX(Data[FY2026 Ed Services],MATCH(A34,Data[Label],0)))*B34,0)</f>
        <v>63663</v>
      </c>
      <c r="F34" s="193">
        <f t="shared" si="2"/>
        <v>4691142</v>
      </c>
      <c r="G34" s="244">
        <f>INDEX(Data[FY2027 Budget Enrollment],MATCH(A34,Data[Label],0))</f>
        <v>462.3</v>
      </c>
      <c r="H34" s="177">
        <f>'FY2027 RPDC Report'!K34</f>
        <v>3766820.4</v>
      </c>
      <c r="I34" s="177">
        <f>'FY2027 Categoricals Report'!W34</f>
        <v>897535</v>
      </c>
      <c r="J34" s="177">
        <f>(ROUND(INDEX(Data[FY2026 Media Services],MATCH(A34,Data[Label],0))*(1+$B$6),2)+ROUND(INDEX(Data[FY2026 Ed Services],MATCH(A34,Data[Label],0))*(1+$B$6),2))*G34</f>
        <v>64338.291000000012</v>
      </c>
      <c r="K34" s="177">
        <f t="shared" si="3"/>
        <v>4728693.6909999996</v>
      </c>
      <c r="L34" s="177">
        <f t="shared" si="4"/>
        <v>37551.690999999642</v>
      </c>
      <c r="M34" s="178">
        <f t="shared" si="5"/>
        <v>8.0048079977113554E-3</v>
      </c>
      <c r="N34" s="179">
        <f t="shared" si="0"/>
        <v>-4.3000000000000114</v>
      </c>
      <c r="O34" s="180">
        <f t="shared" si="1"/>
        <v>-9.2156022288898652E-3</v>
      </c>
    </row>
    <row r="35" spans="1:15" x14ac:dyDescent="0.55000000000000004">
      <c r="A35" s="198" t="s">
        <v>28</v>
      </c>
      <c r="B35" s="181">
        <f>INDEX(Data[FY2026 Budget Enrollment],MATCH(A35,Data[Label],0))</f>
        <v>603.70000000000005</v>
      </c>
      <c r="C35" s="182">
        <f>INDEX(Data[FY2026 RPDC Total],MATCH(A35,Data[Label],0))+INDEX(Data[FY2026 RPDC Budget Guarantee],MATCH(A35,Data[Label],0))</f>
        <v>4924722</v>
      </c>
      <c r="D35" s="182">
        <f>'FY2027 Categoricals Report'!L35</f>
        <v>1133188</v>
      </c>
      <c r="E35" s="182">
        <f>ROUND((INDEX(Data[FY2026 Media Services],MATCH(A35,Data[Label],0))+INDEX(Data[FY2026 Ed Services],MATCH(A35,Data[Label],0)))*B35,0)</f>
        <v>81898</v>
      </c>
      <c r="F35" s="194">
        <f t="shared" si="2"/>
        <v>6139808</v>
      </c>
      <c r="G35" s="243">
        <f>INDEX(Data[FY2027 Budget Enrollment],MATCH(A35,Data[Label],0))</f>
        <v>611.20000000000005</v>
      </c>
      <c r="H35" s="182">
        <f>'FY2027 RPDC Report'!K35</f>
        <v>4990448</v>
      </c>
      <c r="I35" s="182">
        <f>'FY2027 Categoricals Report'!W35</f>
        <v>1239826</v>
      </c>
      <c r="J35" s="182">
        <f>(ROUND(INDEX(Data[FY2026 Media Services],MATCH(A35,Data[Label],0))*(1+$B$6),2)+ROUND(INDEX(Data[FY2026 Ed Services],MATCH(A35,Data[Label],0))*(1+$B$6),2))*G35</f>
        <v>84577.856</v>
      </c>
      <c r="K35" s="182">
        <f t="shared" si="3"/>
        <v>6314851.8559999997</v>
      </c>
      <c r="L35" s="182">
        <f t="shared" si="4"/>
        <v>175043.85599999968</v>
      </c>
      <c r="M35" s="178">
        <f t="shared" si="5"/>
        <v>2.850966284287712E-2</v>
      </c>
      <c r="N35" s="184">
        <f t="shared" si="0"/>
        <v>7.5</v>
      </c>
      <c r="O35" s="185">
        <f t="shared" si="1"/>
        <v>1.2423389100546628E-2</v>
      </c>
    </row>
    <row r="36" spans="1:15" x14ac:dyDescent="0.55000000000000004">
      <c r="A36" s="197" t="s">
        <v>29</v>
      </c>
      <c r="B36" s="176">
        <f>INDEX(Data[FY2026 Budget Enrollment],MATCH(A36,Data[Label],0))</f>
        <v>705.4</v>
      </c>
      <c r="C36" s="177">
        <f>INDEX(Data[FY2026 RPDC Total],MATCH(A36,Data[Label],0))+INDEX(Data[FY2026 RPDC Budget Guarantee],MATCH(A36,Data[Label],0))</f>
        <v>5905273</v>
      </c>
      <c r="D36" s="177">
        <f>'FY2027 Categoricals Report'!L36</f>
        <v>1113431</v>
      </c>
      <c r="E36" s="177">
        <f>ROUND((INDEX(Data[FY2026 Media Services],MATCH(A36,Data[Label],0))+INDEX(Data[FY2026 Ed Services],MATCH(A36,Data[Label],0)))*B36,0)</f>
        <v>97395</v>
      </c>
      <c r="F36" s="193">
        <f t="shared" si="2"/>
        <v>7116099</v>
      </c>
      <c r="G36" s="244">
        <f>INDEX(Data[FY2027 Budget Enrollment],MATCH(A36,Data[Label],0))</f>
        <v>713.6</v>
      </c>
      <c r="H36" s="177">
        <f>'FY2027 RPDC Report'!K36</f>
        <v>5814412.7999999998</v>
      </c>
      <c r="I36" s="177">
        <f>'FY2027 Categoricals Report'!W36</f>
        <v>1132345</v>
      </c>
      <c r="J36" s="177">
        <f>(ROUND(INDEX(Data[FY2026 Media Services],MATCH(A36,Data[Label],0))*(1+$B$6),2)+ROUND(INDEX(Data[FY2026 Ed Services],MATCH(A36,Data[Label],0))*(1+$B$6),2))*G36</f>
        <v>100503.42399999998</v>
      </c>
      <c r="K36" s="177">
        <f t="shared" si="3"/>
        <v>7047261.2239999995</v>
      </c>
      <c r="L36" s="177">
        <f t="shared" si="4"/>
        <v>-68837.776000000536</v>
      </c>
      <c r="M36" s="178">
        <f t="shared" si="5"/>
        <v>-9.6735270265352596E-3</v>
      </c>
      <c r="N36" s="179">
        <f t="shared" si="0"/>
        <v>8.2000000000000455</v>
      </c>
      <c r="O36" s="180">
        <f t="shared" si="1"/>
        <v>1.1624610150269415E-2</v>
      </c>
    </row>
    <row r="37" spans="1:15" x14ac:dyDescent="0.55000000000000004">
      <c r="A37" s="198" t="s">
        <v>30</v>
      </c>
      <c r="B37" s="181">
        <f>INDEX(Data[FY2026 Budget Enrollment],MATCH(A37,Data[Label],0))</f>
        <v>165.1</v>
      </c>
      <c r="C37" s="182">
        <f>INDEX(Data[FY2026 RPDC Total],MATCH(A37,Data[Label],0))+INDEX(Data[FY2026 RPDC Budget Guarantee],MATCH(A37,Data[Label],0))</f>
        <v>1333843</v>
      </c>
      <c r="D37" s="182">
        <f>'FY2027 Categoricals Report'!L37</f>
        <v>308313</v>
      </c>
      <c r="E37" s="182">
        <f>ROUND((INDEX(Data[FY2026 Media Services],MATCH(A37,Data[Label],0))+INDEX(Data[FY2026 Ed Services],MATCH(A37,Data[Label],0)))*B37,0)</f>
        <v>22397</v>
      </c>
      <c r="F37" s="194">
        <f t="shared" si="2"/>
        <v>1664553</v>
      </c>
      <c r="G37" s="243">
        <f>INDEX(Data[FY2027 Budget Enrollment],MATCH(A37,Data[Label],0))</f>
        <v>155.4</v>
      </c>
      <c r="H37" s="182">
        <f>'FY2027 RPDC Report'!K37</f>
        <v>1347181.6</v>
      </c>
      <c r="I37" s="182">
        <f>'FY2027 Categoricals Report'!W37</f>
        <v>308313</v>
      </c>
      <c r="J37" s="182">
        <f>(ROUND(INDEX(Data[FY2026 Media Services],MATCH(A37,Data[Label],0))*(1+$B$6),2)+ROUND(INDEX(Data[FY2026 Ed Services],MATCH(A37,Data[Label],0))*(1+$B$6),2))*G37</f>
        <v>21504.252</v>
      </c>
      <c r="K37" s="182">
        <f t="shared" si="3"/>
        <v>1676998.852</v>
      </c>
      <c r="L37" s="182">
        <f t="shared" si="4"/>
        <v>12445.851999999955</v>
      </c>
      <c r="M37" s="178">
        <f t="shared" si="5"/>
        <v>7.4769935231860781E-3</v>
      </c>
      <c r="N37" s="184">
        <f t="shared" si="0"/>
        <v>-9.6999999999999886</v>
      </c>
      <c r="O37" s="185">
        <f t="shared" si="1"/>
        <v>-5.8752271350696481E-2</v>
      </c>
    </row>
    <row r="38" spans="1:15" x14ac:dyDescent="0.55000000000000004">
      <c r="A38" s="197" t="s">
        <v>31</v>
      </c>
      <c r="B38" s="176">
        <f>INDEX(Data[FY2026 Budget Enrollment],MATCH(A38,Data[Label],0))</f>
        <v>1475.6</v>
      </c>
      <c r="C38" s="177">
        <f>INDEX(Data[FY2026 RPDC Total],MATCH(A38,Data[Label],0))+INDEX(Data[FY2026 RPDC Budget Guarantee],MATCH(A38,Data[Label],0))</f>
        <v>11823983</v>
      </c>
      <c r="D38" s="177">
        <f>'FY2027 Categoricals Report'!L38</f>
        <v>2146171</v>
      </c>
      <c r="E38" s="177">
        <f>ROUND((INDEX(Data[FY2026 Media Services],MATCH(A38,Data[Label],0))+INDEX(Data[FY2026 Ed Services],MATCH(A38,Data[Label],0)))*B38,0)</f>
        <v>201331</v>
      </c>
      <c r="F38" s="193">
        <f t="shared" si="2"/>
        <v>14171485</v>
      </c>
      <c r="G38" s="244">
        <f>INDEX(Data[FY2027 Budget Enrollment],MATCH(A38,Data[Label],0))</f>
        <v>1426.1</v>
      </c>
      <c r="H38" s="177">
        <f>'FY2027 RPDC Report'!K38</f>
        <v>11942223.299999999</v>
      </c>
      <c r="I38" s="177">
        <f>'FY2027 Categoricals Report'!W38</f>
        <v>2165589</v>
      </c>
      <c r="J38" s="177">
        <f>(ROUND(INDEX(Data[FY2026 Media Services],MATCH(A38,Data[Label],0))*(1+$B$6),2)+ROUND(INDEX(Data[FY2026 Ed Services],MATCH(A38,Data[Label],0))*(1+$B$6),2))*G38</f>
        <v>198470.337</v>
      </c>
      <c r="K38" s="177">
        <f t="shared" si="3"/>
        <v>14306282.636999998</v>
      </c>
      <c r="L38" s="177">
        <f t="shared" si="4"/>
        <v>134797.63699999824</v>
      </c>
      <c r="M38" s="178">
        <f t="shared" si="5"/>
        <v>9.5118921552680077E-3</v>
      </c>
      <c r="N38" s="179">
        <f t="shared" si="0"/>
        <v>-49.5</v>
      </c>
      <c r="O38" s="180">
        <f t="shared" si="1"/>
        <v>-3.3545676335050151E-2</v>
      </c>
    </row>
    <row r="39" spans="1:15" x14ac:dyDescent="0.55000000000000004">
      <c r="A39" s="198" t="s">
        <v>32</v>
      </c>
      <c r="B39" s="181">
        <f>INDEX(Data[FY2026 Budget Enrollment],MATCH(A39,Data[Label],0))</f>
        <v>3825.6</v>
      </c>
      <c r="C39" s="182">
        <f>INDEX(Data[FY2026 RPDC Total],MATCH(A39,Data[Label],0))+INDEX(Data[FY2026 RPDC Budget Guarantee],MATCH(A39,Data[Label],0))</f>
        <v>31397277</v>
      </c>
      <c r="D39" s="182">
        <f>'FY2027 Categoricals Report'!L39</f>
        <v>5260675</v>
      </c>
      <c r="E39" s="182">
        <f>ROUND((INDEX(Data[FY2026 Media Services],MATCH(A39,Data[Label],0))+INDEX(Data[FY2026 Ed Services],MATCH(A39,Data[Label],0)))*B39,0)</f>
        <v>518981</v>
      </c>
      <c r="F39" s="194">
        <f t="shared" si="2"/>
        <v>37176933</v>
      </c>
      <c r="G39" s="243">
        <f>INDEX(Data[FY2027 Budget Enrollment],MATCH(A39,Data[Label],0))</f>
        <v>3776.9</v>
      </c>
      <c r="H39" s="182">
        <f>'FY2027 RPDC Report'!K39</f>
        <v>30995852.800000001</v>
      </c>
      <c r="I39" s="182">
        <f>'FY2027 Categoricals Report'!W39</f>
        <v>5457541</v>
      </c>
      <c r="J39" s="182">
        <f>(ROUND(INDEX(Data[FY2026 Media Services],MATCH(A39,Data[Label],0))*(1+$B$6),2)+ROUND(INDEX(Data[FY2026 Ed Services],MATCH(A39,Data[Label],0))*(1+$B$6),2))*G39</f>
        <v>522647.42200000002</v>
      </c>
      <c r="K39" s="182">
        <f t="shared" si="3"/>
        <v>36976041.222000003</v>
      </c>
      <c r="L39" s="182">
        <f t="shared" si="4"/>
        <v>-200891.77799999714</v>
      </c>
      <c r="M39" s="178">
        <f t="shared" si="5"/>
        <v>-5.4036673224226736E-3</v>
      </c>
      <c r="N39" s="184">
        <f t="shared" si="0"/>
        <v>-48.699999999999818</v>
      </c>
      <c r="O39" s="185">
        <f t="shared" si="1"/>
        <v>-1.2730029276453319E-2</v>
      </c>
    </row>
    <row r="40" spans="1:15" x14ac:dyDescent="0.55000000000000004">
      <c r="A40" s="197" t="s">
        <v>33</v>
      </c>
      <c r="B40" s="176">
        <f>INDEX(Data[FY2026 Budget Enrollment],MATCH(A40,Data[Label],0))</f>
        <v>2662.4</v>
      </c>
      <c r="C40" s="177">
        <f>INDEX(Data[FY2026 RPDC Total],MATCH(A40,Data[Label],0))+INDEX(Data[FY2026 RPDC Budget Guarantee],MATCH(A40,Data[Label],0))</f>
        <v>21267251</v>
      </c>
      <c r="D40" s="177">
        <f>'FY2027 Categoricals Report'!L40</f>
        <v>3518579</v>
      </c>
      <c r="E40" s="177">
        <f>ROUND((INDEX(Data[FY2026 Media Services],MATCH(A40,Data[Label],0))+INDEX(Data[FY2026 Ed Services],MATCH(A40,Data[Label],0)))*B40,0)</f>
        <v>362459</v>
      </c>
      <c r="F40" s="193">
        <f t="shared" si="2"/>
        <v>25148289</v>
      </c>
      <c r="G40" s="244">
        <f>INDEX(Data[FY2027 Budget Enrollment],MATCH(A40,Data[Label],0))</f>
        <v>2636.4</v>
      </c>
      <c r="H40" s="177">
        <f>'FY2027 RPDC Report'!K40</f>
        <v>21481387.199999999</v>
      </c>
      <c r="I40" s="177">
        <f>'FY2027 Categoricals Report'!W40</f>
        <v>3601446</v>
      </c>
      <c r="J40" s="177">
        <f>(ROUND(INDEX(Data[FY2026 Media Services],MATCH(A40,Data[Label],0))*(1+$B$6),2)+ROUND(INDEX(Data[FY2026 Ed Services],MATCH(A40,Data[Label],0))*(1+$B$6),2))*G40</f>
        <v>366116.86800000002</v>
      </c>
      <c r="K40" s="177">
        <f t="shared" si="3"/>
        <v>25448950.068</v>
      </c>
      <c r="L40" s="177">
        <f t="shared" si="4"/>
        <v>300661.06799999997</v>
      </c>
      <c r="M40" s="178">
        <f t="shared" si="5"/>
        <v>1.1955527789584412E-2</v>
      </c>
      <c r="N40" s="179">
        <f t="shared" si="0"/>
        <v>-26</v>
      </c>
      <c r="O40" s="180">
        <f t="shared" si="1"/>
        <v>-9.765625E-3</v>
      </c>
    </row>
    <row r="41" spans="1:15" x14ac:dyDescent="0.55000000000000004">
      <c r="A41" s="198" t="s">
        <v>34</v>
      </c>
      <c r="B41" s="181">
        <f>INDEX(Data[FY2026 Budget Enrollment],MATCH(A41,Data[Label],0))</f>
        <v>1984</v>
      </c>
      <c r="C41" s="182">
        <f>INDEX(Data[FY2026 RPDC Total],MATCH(A41,Data[Label],0))+INDEX(Data[FY2026 RPDC Budget Guarantee],MATCH(A41,Data[Label],0))</f>
        <v>15848192</v>
      </c>
      <c r="D41" s="182">
        <f>'FY2027 Categoricals Report'!L41</f>
        <v>2791716</v>
      </c>
      <c r="E41" s="182">
        <f>ROUND((INDEX(Data[FY2026 Media Services],MATCH(A41,Data[Label],0))+INDEX(Data[FY2026 Ed Services],MATCH(A41,Data[Label],0)))*B41,0)</f>
        <v>270102</v>
      </c>
      <c r="F41" s="194">
        <f t="shared" si="2"/>
        <v>18910010</v>
      </c>
      <c r="G41" s="243">
        <f>INDEX(Data[FY2027 Budget Enrollment],MATCH(A41,Data[Label],0))</f>
        <v>1999.6</v>
      </c>
      <c r="H41" s="182">
        <f>'FY2027 RPDC Report'!K41</f>
        <v>16292740.799999999</v>
      </c>
      <c r="I41" s="182">
        <f>'FY2027 Categoricals Report'!W41</f>
        <v>2867714</v>
      </c>
      <c r="J41" s="182">
        <f>(ROUND(INDEX(Data[FY2026 Media Services],MATCH(A41,Data[Label],0))*(1+$B$6),2)+ROUND(INDEX(Data[FY2026 Ed Services],MATCH(A41,Data[Label],0))*(1+$B$6),2))*G41</f>
        <v>277684.45199999999</v>
      </c>
      <c r="K41" s="182">
        <f t="shared" si="3"/>
        <v>19438139.252</v>
      </c>
      <c r="L41" s="182">
        <f t="shared" si="4"/>
        <v>528129.25200000033</v>
      </c>
      <c r="M41" s="178">
        <f t="shared" si="5"/>
        <v>2.7928554876491356E-2</v>
      </c>
      <c r="N41" s="184">
        <f t="shared" si="0"/>
        <v>15.599999999999909</v>
      </c>
      <c r="O41" s="185">
        <f t="shared" si="1"/>
        <v>7.8629032258064058E-3</v>
      </c>
    </row>
    <row r="42" spans="1:15" x14ac:dyDescent="0.55000000000000004">
      <c r="A42" s="197" t="s">
        <v>35</v>
      </c>
      <c r="B42" s="176">
        <f>INDEX(Data[FY2026 Budget Enrollment],MATCH(A42,Data[Label],0))</f>
        <v>546.70000000000005</v>
      </c>
      <c r="C42" s="177">
        <f>INDEX(Data[FY2026 RPDC Total],MATCH(A42,Data[Label],0))+INDEX(Data[FY2026 RPDC Budget Guarantee],MATCH(A42,Data[Label],0))</f>
        <v>4454841</v>
      </c>
      <c r="D42" s="177">
        <f>'FY2027 Categoricals Report'!L42</f>
        <v>1310333</v>
      </c>
      <c r="E42" s="177">
        <f>ROUND((INDEX(Data[FY2026 Media Services],MATCH(A42,Data[Label],0))+INDEX(Data[FY2026 Ed Services],MATCH(A42,Data[Label],0)))*B42,0)</f>
        <v>75625</v>
      </c>
      <c r="F42" s="193">
        <f t="shared" si="2"/>
        <v>5840799</v>
      </c>
      <c r="G42" s="244">
        <f>INDEX(Data[FY2027 Budget Enrollment],MATCH(A42,Data[Label],0))</f>
        <v>531.20000000000005</v>
      </c>
      <c r="H42" s="177">
        <f>'FY2027 RPDC Report'!K42</f>
        <v>4410710.6000000006</v>
      </c>
      <c r="I42" s="177">
        <f>'FY2027 Categoricals Report'!W42</f>
        <v>1414329</v>
      </c>
      <c r="J42" s="177">
        <f>(ROUND(INDEX(Data[FY2026 Media Services],MATCH(A42,Data[Label],0))*(1+$B$6),2)+ROUND(INDEX(Data[FY2026 Ed Services],MATCH(A42,Data[Label],0))*(1+$B$6),2))*G42</f>
        <v>74952.320000000007</v>
      </c>
      <c r="K42" s="177">
        <f t="shared" si="3"/>
        <v>5899991.9200000009</v>
      </c>
      <c r="L42" s="177">
        <f t="shared" si="4"/>
        <v>59192.920000000857</v>
      </c>
      <c r="M42" s="178">
        <f t="shared" si="5"/>
        <v>1.0134387435691736E-2</v>
      </c>
      <c r="N42" s="179">
        <f t="shared" si="0"/>
        <v>-15.5</v>
      </c>
      <c r="O42" s="180">
        <f t="shared" si="1"/>
        <v>-2.8351929760380461E-2</v>
      </c>
    </row>
    <row r="43" spans="1:15" x14ac:dyDescent="0.55000000000000004">
      <c r="A43" s="198" t="s">
        <v>36</v>
      </c>
      <c r="B43" s="181">
        <f>INDEX(Data[FY2026 Budget Enrollment],MATCH(A43,Data[Label],0))</f>
        <v>387.2</v>
      </c>
      <c r="C43" s="182">
        <f>INDEX(Data[FY2026 RPDC Total],MATCH(A43,Data[Label],0))+INDEX(Data[FY2026 RPDC Budget Guarantee],MATCH(A43,Data[Label],0))</f>
        <v>3092954</v>
      </c>
      <c r="D43" s="182">
        <f>'FY2027 Categoricals Report'!L43</f>
        <v>699421</v>
      </c>
      <c r="E43" s="182">
        <f>ROUND((INDEX(Data[FY2026 Media Services],MATCH(A43,Data[Label],0))+INDEX(Data[FY2026 Ed Services],MATCH(A43,Data[Label],0)))*B43,0)</f>
        <v>52988</v>
      </c>
      <c r="F43" s="194">
        <f t="shared" si="2"/>
        <v>3845363</v>
      </c>
      <c r="G43" s="243">
        <f>INDEX(Data[FY2027 Budget Enrollment],MATCH(A43,Data[Label],0))</f>
        <v>395.3</v>
      </c>
      <c r="H43" s="182">
        <f>'FY2027 RPDC Report'!K43</f>
        <v>3220904.4</v>
      </c>
      <c r="I43" s="182">
        <f>'FY2027 Categoricals Report'!W43</f>
        <v>723754</v>
      </c>
      <c r="J43" s="182">
        <f>(ROUND(INDEX(Data[FY2026 Media Services],MATCH(A43,Data[Label],0))*(1+$B$6),2)+ROUND(INDEX(Data[FY2026 Ed Services],MATCH(A43,Data[Label],0))*(1+$B$6),2))*G43</f>
        <v>55179.927000000003</v>
      </c>
      <c r="K43" s="182">
        <f t="shared" si="3"/>
        <v>3999838.327</v>
      </c>
      <c r="L43" s="182">
        <f t="shared" si="4"/>
        <v>154475.32700000005</v>
      </c>
      <c r="M43" s="178">
        <f t="shared" si="5"/>
        <v>4.0171845154800739E-2</v>
      </c>
      <c r="N43" s="184">
        <f t="shared" si="0"/>
        <v>8.1000000000000227</v>
      </c>
      <c r="O43" s="185">
        <f t="shared" si="1"/>
        <v>2.0919421487603364E-2</v>
      </c>
    </row>
    <row r="44" spans="1:15" x14ac:dyDescent="0.55000000000000004">
      <c r="A44" s="197" t="s">
        <v>37</v>
      </c>
      <c r="B44" s="176">
        <f>INDEX(Data[FY2026 Budget Enrollment],MATCH(A44,Data[Label],0))</f>
        <v>518.4</v>
      </c>
      <c r="C44" s="177">
        <f>INDEX(Data[FY2026 RPDC Total],MATCH(A44,Data[Label],0))+INDEX(Data[FY2026 RPDC Budget Guarantee],MATCH(A44,Data[Label],0))</f>
        <v>4140979</v>
      </c>
      <c r="D44" s="177">
        <f>'FY2027 Categoricals Report'!L44</f>
        <v>866805</v>
      </c>
      <c r="E44" s="177">
        <f>ROUND((INDEX(Data[FY2026 Media Services],MATCH(A44,Data[Label],0))+INDEX(Data[FY2026 Ed Services],MATCH(A44,Data[Label],0)))*B44,0)</f>
        <v>71575</v>
      </c>
      <c r="F44" s="193">
        <f t="shared" si="2"/>
        <v>5079359</v>
      </c>
      <c r="G44" s="244">
        <f>INDEX(Data[FY2027 Budget Enrollment],MATCH(A44,Data[Label],0))</f>
        <v>490</v>
      </c>
      <c r="H44" s="177">
        <f>'FY2027 RPDC Report'!K44</f>
        <v>4182389</v>
      </c>
      <c r="I44" s="177">
        <f>'FY2027 Categoricals Report'!W44</f>
        <v>866805</v>
      </c>
      <c r="J44" s="177">
        <f>(ROUND(INDEX(Data[FY2026 Media Services],MATCH(A44,Data[Label],0))*(1+$B$6),2)+ROUND(INDEX(Data[FY2026 Ed Services],MATCH(A44,Data[Label],0))*(1+$B$6),2))*G44</f>
        <v>69011.599999999991</v>
      </c>
      <c r="K44" s="177">
        <f t="shared" si="3"/>
        <v>5118205.5999999996</v>
      </c>
      <c r="L44" s="177">
        <f t="shared" si="4"/>
        <v>38846.599999999627</v>
      </c>
      <c r="M44" s="178">
        <f t="shared" si="5"/>
        <v>7.6479335286203688E-3</v>
      </c>
      <c r="N44" s="179">
        <f t="shared" si="0"/>
        <v>-28.399999999999977</v>
      </c>
      <c r="O44" s="180">
        <f t="shared" si="1"/>
        <v>-5.4783950617283909E-2</v>
      </c>
    </row>
    <row r="45" spans="1:15" x14ac:dyDescent="0.55000000000000004">
      <c r="A45" s="198" t="s">
        <v>38</v>
      </c>
      <c r="B45" s="181">
        <f>INDEX(Data[FY2026 Budget Enrollment],MATCH(A45,Data[Label],0))</f>
        <v>3673.1</v>
      </c>
      <c r="C45" s="182">
        <f>INDEX(Data[FY2026 RPDC Total],MATCH(A45,Data[Label],0))+INDEX(Data[FY2026 RPDC Budget Guarantee],MATCH(A45,Data[Label],0))</f>
        <v>30009314</v>
      </c>
      <c r="D45" s="182">
        <f>'FY2027 Categoricals Report'!L45</f>
        <v>5498345</v>
      </c>
      <c r="E45" s="182">
        <f>ROUND((INDEX(Data[FY2026 Media Services],MATCH(A45,Data[Label],0))+INDEX(Data[FY2026 Ed Services],MATCH(A45,Data[Label],0)))*B45,0)</f>
        <v>500974</v>
      </c>
      <c r="F45" s="194">
        <f t="shared" si="2"/>
        <v>36008633</v>
      </c>
      <c r="G45" s="243">
        <f>INDEX(Data[FY2027 Budget Enrollment],MATCH(A45,Data[Label],0))</f>
        <v>3560.2</v>
      </c>
      <c r="H45" s="182">
        <f>'FY2027 RPDC Report'!K45</f>
        <v>29634130.599999998</v>
      </c>
      <c r="I45" s="182">
        <f>'FY2027 Categoricals Report'!W45</f>
        <v>5593353</v>
      </c>
      <c r="J45" s="182">
        <f>(ROUND(INDEX(Data[FY2026 Media Services],MATCH(A45,Data[Label],0))*(1+$B$6),2)+ROUND(INDEX(Data[FY2026 Ed Services],MATCH(A45,Data[Label],0))*(1+$B$6),2))*G45</f>
        <v>495295.02399999998</v>
      </c>
      <c r="K45" s="182">
        <f t="shared" si="3"/>
        <v>35722778.623999998</v>
      </c>
      <c r="L45" s="182">
        <f t="shared" si="4"/>
        <v>-285854.37600000203</v>
      </c>
      <c r="M45" s="178">
        <f t="shared" si="5"/>
        <v>-7.9384956379766492E-3</v>
      </c>
      <c r="N45" s="184">
        <f t="shared" si="0"/>
        <v>-112.90000000000009</v>
      </c>
      <c r="O45" s="185">
        <f t="shared" si="1"/>
        <v>-3.0736979662955022E-2</v>
      </c>
    </row>
    <row r="46" spans="1:15" x14ac:dyDescent="0.55000000000000004">
      <c r="A46" s="197" t="s">
        <v>39</v>
      </c>
      <c r="B46" s="176">
        <f>INDEX(Data[FY2026 Budget Enrollment],MATCH(A46,Data[Label],0))</f>
        <v>277.10000000000002</v>
      </c>
      <c r="C46" s="177">
        <f>INDEX(Data[FY2026 RPDC Total],MATCH(A46,Data[Label],0))+INDEX(Data[FY2026 RPDC Budget Guarantee],MATCH(A46,Data[Label],0))</f>
        <v>2290770</v>
      </c>
      <c r="D46" s="177">
        <f>'FY2027 Categoricals Report'!L46</f>
        <v>521993</v>
      </c>
      <c r="E46" s="177">
        <f>ROUND((INDEX(Data[FY2026 Media Services],MATCH(A46,Data[Label],0))+INDEX(Data[FY2026 Ed Services],MATCH(A46,Data[Label],0)))*B46,0)</f>
        <v>38259</v>
      </c>
      <c r="F46" s="193">
        <f t="shared" si="2"/>
        <v>2851022</v>
      </c>
      <c r="G46" s="244">
        <f>INDEX(Data[FY2027 Budget Enrollment],MATCH(A46,Data[Label],0))</f>
        <v>270.89999999999998</v>
      </c>
      <c r="H46" s="177">
        <f>'FY2027 RPDC Report'!K46</f>
        <v>2271993.1999999997</v>
      </c>
      <c r="I46" s="177">
        <f>'FY2027 Categoricals Report'!W46</f>
        <v>530618</v>
      </c>
      <c r="J46" s="177">
        <f>(ROUND(INDEX(Data[FY2026 Media Services],MATCH(A46,Data[Label],0))*(1+$B$6),2)+ROUND(INDEX(Data[FY2026 Ed Services],MATCH(A46,Data[Label],0))*(1+$B$6),2))*G46</f>
        <v>38153.55599999999</v>
      </c>
      <c r="K46" s="177">
        <f t="shared" si="3"/>
        <v>2840764.7559999996</v>
      </c>
      <c r="L46" s="177">
        <f t="shared" si="4"/>
        <v>-10257.244000000414</v>
      </c>
      <c r="M46" s="178">
        <f t="shared" si="5"/>
        <v>-3.5977428444959082E-3</v>
      </c>
      <c r="N46" s="179">
        <f t="shared" si="0"/>
        <v>-6.2000000000000455</v>
      </c>
      <c r="O46" s="180">
        <f t="shared" si="1"/>
        <v>-2.2374594009383058E-2</v>
      </c>
    </row>
    <row r="47" spans="1:15" x14ac:dyDescent="0.55000000000000004">
      <c r="A47" s="198" t="s">
        <v>40</v>
      </c>
      <c r="B47" s="181">
        <f>INDEX(Data[FY2026 Budget Enrollment],MATCH(A47,Data[Label],0))</f>
        <v>419.4</v>
      </c>
      <c r="C47" s="182">
        <f>INDEX(Data[FY2026 RPDC Total],MATCH(A47,Data[Label],0))+INDEX(Data[FY2026 RPDC Budget Guarantee],MATCH(A47,Data[Label],0))</f>
        <v>3544728</v>
      </c>
      <c r="D47" s="182">
        <f>'FY2027 Categoricals Report'!L47</f>
        <v>972123</v>
      </c>
      <c r="E47" s="182">
        <f>ROUND((INDEX(Data[FY2026 Media Services],MATCH(A47,Data[Label],0))+INDEX(Data[FY2026 Ed Services],MATCH(A47,Data[Label],0)))*B47,0)</f>
        <v>57395</v>
      </c>
      <c r="F47" s="194">
        <f t="shared" si="2"/>
        <v>4574246</v>
      </c>
      <c r="G47" s="243">
        <f>INDEX(Data[FY2027 Budget Enrollment],MATCH(A47,Data[Label],0))</f>
        <v>395.7</v>
      </c>
      <c r="H47" s="182">
        <f>'FY2027 RPDC Report'!K47</f>
        <v>3387904.6</v>
      </c>
      <c r="I47" s="182">
        <f>'FY2027 Categoricals Report'!W47</f>
        <v>962823</v>
      </c>
      <c r="J47" s="182">
        <f>(ROUND(INDEX(Data[FY2026 Media Services],MATCH(A47,Data[Label],0))*(1+$B$6),2)+ROUND(INDEX(Data[FY2026 Ed Services],MATCH(A47,Data[Label],0))*(1+$B$6),2))*G47</f>
        <v>55235.762999999999</v>
      </c>
      <c r="K47" s="182">
        <f t="shared" si="3"/>
        <v>4405963.3629999999</v>
      </c>
      <c r="L47" s="182">
        <f t="shared" si="4"/>
        <v>-168282.6370000001</v>
      </c>
      <c r="M47" s="178">
        <f t="shared" si="5"/>
        <v>-3.6789153228750732E-2</v>
      </c>
      <c r="N47" s="184">
        <f t="shared" si="0"/>
        <v>-23.699999999999989</v>
      </c>
      <c r="O47" s="185">
        <f t="shared" si="1"/>
        <v>-5.6509298998569359E-2</v>
      </c>
    </row>
    <row r="48" spans="1:15" x14ac:dyDescent="0.55000000000000004">
      <c r="A48" s="197" t="s">
        <v>41</v>
      </c>
      <c r="B48" s="176">
        <f>INDEX(Data[FY2026 Budget Enrollment],MATCH(A48,Data[Label],0))</f>
        <v>350.6</v>
      </c>
      <c r="C48" s="177">
        <f>INDEX(Data[FY2026 RPDC Total],MATCH(A48,Data[Label],0))+INDEX(Data[FY2026 RPDC Budget Guarantee],MATCH(A48,Data[Label],0))</f>
        <v>2872496</v>
      </c>
      <c r="D48" s="177">
        <f>'FY2027 Categoricals Report'!L48</f>
        <v>703729</v>
      </c>
      <c r="E48" s="177">
        <f>ROUND((INDEX(Data[FY2026 Media Services],MATCH(A48,Data[Label],0))+INDEX(Data[FY2026 Ed Services],MATCH(A48,Data[Label],0)))*B48,0)</f>
        <v>47562</v>
      </c>
      <c r="F48" s="193">
        <f t="shared" si="2"/>
        <v>3623787</v>
      </c>
      <c r="G48" s="244">
        <f>INDEX(Data[FY2027 Budget Enrollment],MATCH(A48,Data[Label],0))</f>
        <v>375</v>
      </c>
      <c r="H48" s="177">
        <f>'FY2027 RPDC Report'!K48</f>
        <v>3062625</v>
      </c>
      <c r="I48" s="177">
        <f>'FY2027 Categoricals Report'!W48</f>
        <v>762620</v>
      </c>
      <c r="J48" s="177">
        <f>(ROUND(INDEX(Data[FY2026 Media Services],MATCH(A48,Data[Label],0))*(1+$B$6),2)+ROUND(INDEX(Data[FY2026 Ed Services],MATCH(A48,Data[Label],0))*(1+$B$6),2))*G48</f>
        <v>51892.5</v>
      </c>
      <c r="K48" s="177">
        <f t="shared" si="3"/>
        <v>3877137.5</v>
      </c>
      <c r="L48" s="177">
        <f t="shared" si="4"/>
        <v>253350.5</v>
      </c>
      <c r="M48" s="178">
        <f t="shared" si="5"/>
        <v>6.9913187502466348E-2</v>
      </c>
      <c r="N48" s="179">
        <f t="shared" si="0"/>
        <v>24.399999999999977</v>
      </c>
      <c r="O48" s="180">
        <f t="shared" si="1"/>
        <v>6.9594980034226969E-2</v>
      </c>
    </row>
    <row r="49" spans="1:15" x14ac:dyDescent="0.55000000000000004">
      <c r="A49" s="198" t="s">
        <v>42</v>
      </c>
      <c r="B49" s="181">
        <f>INDEX(Data[FY2026 Budget Enrollment],MATCH(A49,Data[Label],0))</f>
        <v>808.3</v>
      </c>
      <c r="C49" s="182">
        <f>INDEX(Data[FY2026 RPDC Total],MATCH(A49,Data[Label],0))+INDEX(Data[FY2026 RPDC Budget Guarantee],MATCH(A49,Data[Label],0))</f>
        <v>6499673</v>
      </c>
      <c r="D49" s="182">
        <f>'FY2027 Categoricals Report'!L49</f>
        <v>1581977</v>
      </c>
      <c r="E49" s="182">
        <f>ROUND((INDEX(Data[FY2026 Media Services],MATCH(A49,Data[Label],0))+INDEX(Data[FY2026 Ed Services],MATCH(A49,Data[Label],0)))*B49,0)</f>
        <v>109654</v>
      </c>
      <c r="F49" s="194">
        <f t="shared" si="2"/>
        <v>8191304</v>
      </c>
      <c r="G49" s="243">
        <f>INDEX(Data[FY2027 Budget Enrollment],MATCH(A49,Data[Label],0))</f>
        <v>746.4</v>
      </c>
      <c r="H49" s="182">
        <f>'FY2027 RPDC Report'!K49</f>
        <v>6521267.2000000002</v>
      </c>
      <c r="I49" s="182">
        <f>'FY2027 Categoricals Report'!W49</f>
        <v>1581977</v>
      </c>
      <c r="J49" s="182">
        <f>(ROUND(INDEX(Data[FY2026 Media Services],MATCH(A49,Data[Label],0))*(1+$B$6),2)+ROUND(INDEX(Data[FY2026 Ed Services],MATCH(A49,Data[Label],0))*(1+$B$6),2))*G49</f>
        <v>103286.83199999999</v>
      </c>
      <c r="K49" s="182">
        <f t="shared" si="3"/>
        <v>8206531.0319999997</v>
      </c>
      <c r="L49" s="182">
        <f t="shared" si="4"/>
        <v>15227.031999999657</v>
      </c>
      <c r="M49" s="178">
        <f t="shared" si="5"/>
        <v>1.8589264908248622E-3</v>
      </c>
      <c r="N49" s="184">
        <f t="shared" si="0"/>
        <v>-61.899999999999977</v>
      </c>
      <c r="O49" s="185">
        <f t="shared" si="1"/>
        <v>-7.6580477545465764E-2</v>
      </c>
    </row>
    <row r="50" spans="1:15" x14ac:dyDescent="0.55000000000000004">
      <c r="A50" s="197" t="s">
        <v>43</v>
      </c>
      <c r="B50" s="176">
        <f>INDEX(Data[FY2026 Budget Enrollment],MATCH(A50,Data[Label],0))</f>
        <v>546.70000000000005</v>
      </c>
      <c r="C50" s="177">
        <f>INDEX(Data[FY2026 RPDC Total],MATCH(A50,Data[Label],0))+INDEX(Data[FY2026 RPDC Budget Guarantee],MATCH(A50,Data[Label],0))</f>
        <v>4367040</v>
      </c>
      <c r="D50" s="177">
        <f>'FY2027 Categoricals Report'!L50</f>
        <v>1236973</v>
      </c>
      <c r="E50" s="177">
        <f>ROUND((INDEX(Data[FY2026 Media Services],MATCH(A50,Data[Label],0))+INDEX(Data[FY2026 Ed Services],MATCH(A50,Data[Label],0)))*B50,0)</f>
        <v>74564</v>
      </c>
      <c r="F50" s="193">
        <f t="shared" si="2"/>
        <v>5678577</v>
      </c>
      <c r="G50" s="244">
        <f>INDEX(Data[FY2027 Budget Enrollment],MATCH(A50,Data[Label],0))</f>
        <v>536.9</v>
      </c>
      <c r="H50" s="177">
        <f>'FY2027 RPDC Report'!K50</f>
        <v>4410710.2</v>
      </c>
      <c r="I50" s="177">
        <f>'FY2027 Categoricals Report'!W50</f>
        <v>1239229</v>
      </c>
      <c r="J50" s="177">
        <f>(ROUND(INDEX(Data[FY2026 Media Services],MATCH(A50,Data[Label],0))*(1+$B$6),2)+ROUND(INDEX(Data[FY2026 Ed Services],MATCH(A50,Data[Label],0))*(1+$B$6),2))*G50</f>
        <v>74693.528000000006</v>
      </c>
      <c r="K50" s="177">
        <f t="shared" si="3"/>
        <v>5724632.7280000001</v>
      </c>
      <c r="L50" s="177">
        <f t="shared" si="4"/>
        <v>46055.728000000119</v>
      </c>
      <c r="M50" s="178">
        <f t="shared" si="5"/>
        <v>8.1104347092590488E-3</v>
      </c>
      <c r="N50" s="179">
        <f t="shared" si="0"/>
        <v>-9.8000000000000682</v>
      </c>
      <c r="O50" s="180">
        <f t="shared" si="1"/>
        <v>-1.7925736235595513E-2</v>
      </c>
    </row>
    <row r="51" spans="1:15" x14ac:dyDescent="0.55000000000000004">
      <c r="A51" s="198" t="s">
        <v>44</v>
      </c>
      <c r="B51" s="181">
        <f>INDEX(Data[FY2026 Budget Enrollment],MATCH(A51,Data[Label],0))</f>
        <v>1927.2</v>
      </c>
      <c r="C51" s="182">
        <f>INDEX(Data[FY2026 RPDC Total],MATCH(A51,Data[Label],0))+INDEX(Data[FY2026 RPDC Budget Guarantee],MATCH(A51,Data[Label],0))</f>
        <v>15688375</v>
      </c>
      <c r="D51" s="182">
        <f>'FY2027 Categoricals Report'!L51</f>
        <v>2628250</v>
      </c>
      <c r="E51" s="182">
        <f>ROUND((INDEX(Data[FY2026 Media Services],MATCH(A51,Data[Label],0))+INDEX(Data[FY2026 Ed Services],MATCH(A51,Data[Label],0)))*B51,0)</f>
        <v>262369</v>
      </c>
      <c r="F51" s="194">
        <f t="shared" si="2"/>
        <v>18578994</v>
      </c>
      <c r="G51" s="243">
        <f>INDEX(Data[FY2027 Budget Enrollment],MATCH(A51,Data[Label],0))</f>
        <v>1883.8</v>
      </c>
      <c r="H51" s="182">
        <f>'FY2027 RPDC Report'!K51</f>
        <v>15548418.4</v>
      </c>
      <c r="I51" s="182">
        <f>'FY2027 Categoricals Report'!W51</f>
        <v>2653774</v>
      </c>
      <c r="J51" s="182">
        <f>(ROUND(INDEX(Data[FY2026 Media Services],MATCH(A51,Data[Label],0))*(1+$B$6),2)+ROUND(INDEX(Data[FY2026 Ed Services],MATCH(A51,Data[Label],0))*(1+$B$6),2))*G51</f>
        <v>261603.30600000001</v>
      </c>
      <c r="K51" s="182">
        <f t="shared" si="3"/>
        <v>18463795.706</v>
      </c>
      <c r="L51" s="182">
        <f t="shared" si="4"/>
        <v>-115198.29399999976</v>
      </c>
      <c r="M51" s="178">
        <f t="shared" si="5"/>
        <v>-6.2004591852497376E-3</v>
      </c>
      <c r="N51" s="184">
        <f t="shared" si="0"/>
        <v>-43.400000000000091</v>
      </c>
      <c r="O51" s="185">
        <f t="shared" si="1"/>
        <v>-2.2519717725197223E-2</v>
      </c>
    </row>
    <row r="52" spans="1:15" x14ac:dyDescent="0.55000000000000004">
      <c r="A52" s="197" t="s">
        <v>45</v>
      </c>
      <c r="B52" s="176">
        <f>INDEX(Data[FY2026 Budget Enrollment],MATCH(A52,Data[Label],0))</f>
        <v>1549.1</v>
      </c>
      <c r="C52" s="177">
        <f>INDEX(Data[FY2026 RPDC Total],MATCH(A52,Data[Label],0))+INDEX(Data[FY2026 RPDC Budget Guarantee],MATCH(A52,Data[Label],0))</f>
        <v>12755104</v>
      </c>
      <c r="D52" s="177">
        <f>'FY2027 Categoricals Report'!L52</f>
        <v>2958550</v>
      </c>
      <c r="E52" s="177">
        <f>ROUND((INDEX(Data[FY2026 Media Services],MATCH(A52,Data[Label],0))+INDEX(Data[FY2026 Ed Services],MATCH(A52,Data[Label],0)))*B52,0)</f>
        <v>210894</v>
      </c>
      <c r="F52" s="193">
        <f t="shared" si="2"/>
        <v>15924548</v>
      </c>
      <c r="G52" s="244">
        <f>INDEX(Data[FY2027 Budget Enrollment],MATCH(A52,Data[Label],0))</f>
        <v>1464.7</v>
      </c>
      <c r="H52" s="177">
        <f>'FY2027 RPDC Report'!K52</f>
        <v>12497953.6</v>
      </c>
      <c r="I52" s="177">
        <f>'FY2027 Categoricals Report'!W52</f>
        <v>3317984</v>
      </c>
      <c r="J52" s="177">
        <f>(ROUND(INDEX(Data[FY2026 Media Services],MATCH(A52,Data[Label],0))*(1+$B$6),2)+ROUND(INDEX(Data[FY2026 Ed Services],MATCH(A52,Data[Label],0))*(1+$B$6),2))*G52</f>
        <v>203402.88900000002</v>
      </c>
      <c r="K52" s="177">
        <f t="shared" si="3"/>
        <v>16019340.489</v>
      </c>
      <c r="L52" s="177">
        <f t="shared" si="4"/>
        <v>94792.48900000006</v>
      </c>
      <c r="M52" s="178">
        <f t="shared" si="5"/>
        <v>5.9526015432274787E-3</v>
      </c>
      <c r="N52" s="179">
        <f t="shared" si="0"/>
        <v>-84.399999999999864</v>
      </c>
      <c r="O52" s="180">
        <f t="shared" si="1"/>
        <v>-5.4483248337744414E-2</v>
      </c>
    </row>
    <row r="53" spans="1:15" x14ac:dyDescent="0.55000000000000004">
      <c r="A53" s="198" t="s">
        <v>46</v>
      </c>
      <c r="B53" s="181">
        <f>INDEX(Data[FY2026 Budget Enrollment],MATCH(A53,Data[Label],0))</f>
        <v>5464.8</v>
      </c>
      <c r="C53" s="182">
        <f>INDEX(Data[FY2026 RPDC Total],MATCH(A53,Data[Label],0))+INDEX(Data[FY2026 RPDC Budget Guarantee],MATCH(A53,Data[Label],0))</f>
        <v>43672617</v>
      </c>
      <c r="D53" s="182">
        <f>'FY2027 Categoricals Report'!L53</f>
        <v>7308394</v>
      </c>
      <c r="E53" s="182">
        <f>ROUND((INDEX(Data[FY2026 Media Services],MATCH(A53,Data[Label],0))+INDEX(Data[FY2026 Ed Services],MATCH(A53,Data[Label],0)))*B53,0)</f>
        <v>754525</v>
      </c>
      <c r="F53" s="194">
        <f t="shared" si="2"/>
        <v>51735536</v>
      </c>
      <c r="G53" s="243">
        <f>INDEX(Data[FY2027 Budget Enrollment],MATCH(A53,Data[Label],0))</f>
        <v>5395.1</v>
      </c>
      <c r="H53" s="182">
        <f>'FY2027 RPDC Report'!K53</f>
        <v>44089349.800000004</v>
      </c>
      <c r="I53" s="182">
        <f>'FY2027 Categoricals Report'!W53</f>
        <v>7574765</v>
      </c>
      <c r="J53" s="182">
        <f>(ROUND(INDEX(Data[FY2026 Media Services],MATCH(A53,Data[Label],0))*(1+$B$6),2)+ROUND(INDEX(Data[FY2026 Ed Services],MATCH(A53,Data[Label],0))*(1+$B$6),2))*G53</f>
        <v>759845.88399999996</v>
      </c>
      <c r="K53" s="182">
        <f t="shared" si="3"/>
        <v>52423960.684</v>
      </c>
      <c r="L53" s="182">
        <f t="shared" si="4"/>
        <v>688424.68400000036</v>
      </c>
      <c r="M53" s="178">
        <f t="shared" si="5"/>
        <v>1.3306611610247942E-2</v>
      </c>
      <c r="N53" s="184">
        <f t="shared" si="0"/>
        <v>-69.699999999999818</v>
      </c>
      <c r="O53" s="185">
        <f t="shared" si="1"/>
        <v>-1.275435514565946E-2</v>
      </c>
    </row>
    <row r="54" spans="1:15" x14ac:dyDescent="0.55000000000000004">
      <c r="A54" s="197" t="s">
        <v>47</v>
      </c>
      <c r="B54" s="176">
        <f>INDEX(Data[FY2026 Budget Enrollment],MATCH(A54,Data[Label],0))</f>
        <v>16120.7</v>
      </c>
      <c r="C54" s="177">
        <f>INDEX(Data[FY2026 RPDC Total],MATCH(A54,Data[Label],0))+INDEX(Data[FY2026 RPDC Budget Guarantee],MATCH(A54,Data[Label],0))</f>
        <v>128772152</v>
      </c>
      <c r="D54" s="177">
        <f>'FY2027 Categoricals Report'!L54</f>
        <v>22448908</v>
      </c>
      <c r="E54" s="177">
        <f>ROUND((INDEX(Data[FY2026 Media Services],MATCH(A54,Data[Label],0))+INDEX(Data[FY2026 Ed Services],MATCH(A54,Data[Label],0)))*B54,0)</f>
        <v>2199508</v>
      </c>
      <c r="F54" s="193">
        <f t="shared" si="2"/>
        <v>153420568</v>
      </c>
      <c r="G54" s="244">
        <f>INDEX(Data[FY2027 Budget Enrollment],MATCH(A54,Data[Label],0))</f>
        <v>15901.2</v>
      </c>
      <c r="H54" s="177">
        <f>'FY2027 RPDC Report'!K54</f>
        <v>130059873.60000001</v>
      </c>
      <c r="I54" s="177">
        <f>'FY2027 Categoricals Report'!W54</f>
        <v>23866870</v>
      </c>
      <c r="J54" s="177">
        <f>(ROUND(INDEX(Data[FY2026 Media Services],MATCH(A54,Data[Label],0))*(1+$B$6),2)+ROUND(INDEX(Data[FY2026 Ed Services],MATCH(A54,Data[Label],0))*(1+$B$6),2))*G54</f>
        <v>2212970.0040000002</v>
      </c>
      <c r="K54" s="177">
        <f t="shared" si="3"/>
        <v>156139713.604</v>
      </c>
      <c r="L54" s="177">
        <f t="shared" si="4"/>
        <v>2719145.6040000021</v>
      </c>
      <c r="M54" s="178">
        <f t="shared" si="5"/>
        <v>1.7723475016726584E-2</v>
      </c>
      <c r="N54" s="179">
        <f t="shared" si="0"/>
        <v>-219.5</v>
      </c>
      <c r="O54" s="180">
        <f t="shared" si="1"/>
        <v>-1.361603404318671E-2</v>
      </c>
    </row>
    <row r="55" spans="1:15" x14ac:dyDescent="0.55000000000000004">
      <c r="A55" s="198" t="s">
        <v>48</v>
      </c>
      <c r="B55" s="181">
        <f>INDEX(Data[FY2026 Budget Enrollment],MATCH(A55,Data[Label],0))</f>
        <v>1131.2</v>
      </c>
      <c r="C55" s="182">
        <f>INDEX(Data[FY2026 RPDC Total],MATCH(A55,Data[Label],0))+INDEX(Data[FY2026 RPDC Budget Guarantee],MATCH(A55,Data[Label],0))</f>
        <v>9281182</v>
      </c>
      <c r="D55" s="182">
        <f>'FY2027 Categoricals Report'!L55</f>
        <v>1649530</v>
      </c>
      <c r="E55" s="182">
        <f>ROUND((INDEX(Data[FY2026 Media Services],MATCH(A55,Data[Label],0))+INDEX(Data[FY2026 Ed Services],MATCH(A55,Data[Label],0)))*B55,0)</f>
        <v>154341</v>
      </c>
      <c r="F55" s="194">
        <f t="shared" si="2"/>
        <v>11085053</v>
      </c>
      <c r="G55" s="243">
        <f>INDEX(Data[FY2027 Budget Enrollment],MATCH(A55,Data[Label],0))</f>
        <v>1080.0999999999999</v>
      </c>
      <c r="H55" s="182">
        <f>'FY2027 RPDC Report'!K55</f>
        <v>9126385.7999999989</v>
      </c>
      <c r="I55" s="182">
        <f>'FY2027 Categoricals Report'!W55</f>
        <v>1638444</v>
      </c>
      <c r="J55" s="182">
        <f>(ROUND(INDEX(Data[FY2026 Media Services],MATCH(A55,Data[Label],0))*(1+$B$6),2)+ROUND(INDEX(Data[FY2026 Ed Services],MATCH(A55,Data[Label],0))*(1+$B$6),2))*G55</f>
        <v>150317.51699999999</v>
      </c>
      <c r="K55" s="182">
        <f t="shared" si="3"/>
        <v>10915147.316999998</v>
      </c>
      <c r="L55" s="182">
        <f t="shared" si="4"/>
        <v>-169905.68300000206</v>
      </c>
      <c r="M55" s="178">
        <f t="shared" si="5"/>
        <v>-1.5327457884053604E-2</v>
      </c>
      <c r="N55" s="184">
        <f t="shared" si="0"/>
        <v>-51.100000000000136</v>
      </c>
      <c r="O55" s="185">
        <f t="shared" si="1"/>
        <v>-4.517326732673279E-2</v>
      </c>
    </row>
    <row r="56" spans="1:15" x14ac:dyDescent="0.55000000000000004">
      <c r="A56" s="197" t="s">
        <v>49</v>
      </c>
      <c r="B56" s="176">
        <f>INDEX(Data[FY2026 Budget Enrollment],MATCH(A56,Data[Label],0))</f>
        <v>1264.0999999999999</v>
      </c>
      <c r="C56" s="177">
        <f>INDEX(Data[FY2026 RPDC Total],MATCH(A56,Data[Label],0))+INDEX(Data[FY2026 RPDC Budget Guarantee],MATCH(A56,Data[Label],0))</f>
        <v>10548869</v>
      </c>
      <c r="D56" s="177">
        <f>'FY2027 Categoricals Report'!L56</f>
        <v>1858396</v>
      </c>
      <c r="E56" s="177">
        <f>ROUND((INDEX(Data[FY2026 Media Services],MATCH(A56,Data[Label],0))+INDEX(Data[FY2026 Ed Services],MATCH(A56,Data[Label],0)))*B56,0)</f>
        <v>172411</v>
      </c>
      <c r="F56" s="193">
        <f t="shared" si="2"/>
        <v>12579676</v>
      </c>
      <c r="G56" s="244">
        <f>INDEX(Data[FY2027 Budget Enrollment],MATCH(A56,Data[Label],0))</f>
        <v>1206.0999999999999</v>
      </c>
      <c r="H56" s="177">
        <f>'FY2027 RPDC Report'!K56</f>
        <v>10222865.699999999</v>
      </c>
      <c r="I56" s="177">
        <f>'FY2027 Categoricals Report'!W56</f>
        <v>1836358</v>
      </c>
      <c r="J56" s="177">
        <f>(ROUND(INDEX(Data[FY2026 Media Services],MATCH(A56,Data[Label],0))*(1+$B$6),2)+ROUND(INDEX(Data[FY2026 Ed Services],MATCH(A56,Data[Label],0))*(1+$B$6),2))*G56</f>
        <v>167792.63199999998</v>
      </c>
      <c r="K56" s="177">
        <f t="shared" si="3"/>
        <v>12227016.331999999</v>
      </c>
      <c r="L56" s="177">
        <f t="shared" si="4"/>
        <v>-352659.66800000146</v>
      </c>
      <c r="M56" s="178">
        <f t="shared" si="5"/>
        <v>-2.8034081958867738E-2</v>
      </c>
      <c r="N56" s="179">
        <f t="shared" si="0"/>
        <v>-58</v>
      </c>
      <c r="O56" s="180">
        <f t="shared" si="1"/>
        <v>-4.588244600901828E-2</v>
      </c>
    </row>
    <row r="57" spans="1:15" x14ac:dyDescent="0.55000000000000004">
      <c r="A57" s="198" t="s">
        <v>50</v>
      </c>
      <c r="B57" s="181">
        <f>INDEX(Data[FY2026 Budget Enrollment],MATCH(A57,Data[Label],0))</f>
        <v>411.3</v>
      </c>
      <c r="C57" s="182">
        <f>INDEX(Data[FY2026 RPDC Total],MATCH(A57,Data[Label],0))+INDEX(Data[FY2026 RPDC Budget Guarantee],MATCH(A57,Data[Label],0))</f>
        <v>3337956</v>
      </c>
      <c r="D57" s="182">
        <f>'FY2027 Categoricals Report'!L57</f>
        <v>859816</v>
      </c>
      <c r="E57" s="182">
        <f>ROUND((INDEX(Data[FY2026 Media Services],MATCH(A57,Data[Label],0))+INDEX(Data[FY2026 Ed Services],MATCH(A57,Data[Label],0)))*B57,0)</f>
        <v>56118</v>
      </c>
      <c r="F57" s="194">
        <f t="shared" si="2"/>
        <v>4253890</v>
      </c>
      <c r="G57" s="243">
        <f>INDEX(Data[FY2027 Budget Enrollment],MATCH(A57,Data[Label],0))</f>
        <v>390.6</v>
      </c>
      <c r="H57" s="182">
        <f>'FY2027 RPDC Report'!K57</f>
        <v>3327043.4000000004</v>
      </c>
      <c r="I57" s="182">
        <f>'FY2027 Categoricals Report'!W57</f>
        <v>859732</v>
      </c>
      <c r="J57" s="182">
        <f>(ROUND(INDEX(Data[FY2026 Media Services],MATCH(A57,Data[Label],0))*(1+$B$6),2)+ROUND(INDEX(Data[FY2026 Ed Services],MATCH(A57,Data[Label],0))*(1+$B$6),2))*G57</f>
        <v>54359.802000000011</v>
      </c>
      <c r="K57" s="182">
        <f t="shared" si="3"/>
        <v>4241135.2020000005</v>
      </c>
      <c r="L57" s="182">
        <f t="shared" si="4"/>
        <v>-12754.797999999486</v>
      </c>
      <c r="M57" s="178">
        <f t="shared" si="5"/>
        <v>-2.9983845374467809E-3</v>
      </c>
      <c r="N57" s="184">
        <f t="shared" si="0"/>
        <v>-20.699999999999989</v>
      </c>
      <c r="O57" s="185">
        <f t="shared" si="1"/>
        <v>-5.0328227571115942E-2</v>
      </c>
    </row>
    <row r="58" spans="1:15" x14ac:dyDescent="0.55000000000000004">
      <c r="A58" s="197" t="s">
        <v>51</v>
      </c>
      <c r="B58" s="176">
        <f>INDEX(Data[FY2026 Budget Enrollment],MATCH(A58,Data[Label],0))</f>
        <v>456.1</v>
      </c>
      <c r="C58" s="177">
        <f>INDEX(Data[FY2026 RPDC Total],MATCH(A58,Data[Label],0))+INDEX(Data[FY2026 RPDC Budget Guarantee],MATCH(A58,Data[Label],0))</f>
        <v>3693661</v>
      </c>
      <c r="D58" s="177">
        <f>'FY2027 Categoricals Report'!L58</f>
        <v>767321</v>
      </c>
      <c r="E58" s="177">
        <f>ROUND((INDEX(Data[FY2026 Media Services],MATCH(A58,Data[Label],0))+INDEX(Data[FY2026 Ed Services],MATCH(A58,Data[Label],0)))*B58,0)</f>
        <v>62919</v>
      </c>
      <c r="F58" s="193">
        <f t="shared" si="2"/>
        <v>4523901</v>
      </c>
      <c r="G58" s="244">
        <f>INDEX(Data[FY2027 Budget Enrollment],MATCH(A58,Data[Label],0))</f>
        <v>452.3</v>
      </c>
      <c r="H58" s="177">
        <f>'FY2027 RPDC Report'!K58</f>
        <v>3685340.4</v>
      </c>
      <c r="I58" s="177">
        <f>'FY2027 Categoricals Report'!W58</f>
        <v>771131</v>
      </c>
      <c r="J58" s="177">
        <f>(ROUND(INDEX(Data[FY2026 Media Services],MATCH(A58,Data[Label],0))*(1+$B$6),2)+ROUND(INDEX(Data[FY2026 Ed Services],MATCH(A58,Data[Label],0))*(1+$B$6),2))*G58</f>
        <v>63643.132999999994</v>
      </c>
      <c r="K58" s="177">
        <f t="shared" si="3"/>
        <v>4520114.5329999998</v>
      </c>
      <c r="L58" s="177">
        <f t="shared" si="4"/>
        <v>-3786.4670000001788</v>
      </c>
      <c r="M58" s="178">
        <f t="shared" si="5"/>
        <v>-8.3699156988629477E-4</v>
      </c>
      <c r="N58" s="179">
        <f t="shared" si="0"/>
        <v>-3.8000000000000114</v>
      </c>
      <c r="O58" s="180">
        <f t="shared" si="1"/>
        <v>-8.3315062486297112E-3</v>
      </c>
    </row>
    <row r="59" spans="1:15" x14ac:dyDescent="0.55000000000000004">
      <c r="A59" s="198" t="s">
        <v>52</v>
      </c>
      <c r="B59" s="181">
        <f>INDEX(Data[FY2026 Budget Enrollment],MATCH(A59,Data[Label],0))</f>
        <v>1460.4</v>
      </c>
      <c r="C59" s="182">
        <f>INDEX(Data[FY2026 RPDC Total],MATCH(A59,Data[Label],0))+INDEX(Data[FY2026 RPDC Budget Guarantee],MATCH(A59,Data[Label],0))</f>
        <v>11665675</v>
      </c>
      <c r="D59" s="182">
        <f>'FY2027 Categoricals Report'!L59</f>
        <v>2590358</v>
      </c>
      <c r="E59" s="182">
        <f>ROUND((INDEX(Data[FY2026 Media Services],MATCH(A59,Data[Label],0))+INDEX(Data[FY2026 Ed Services],MATCH(A59,Data[Label],0)))*B59,0)</f>
        <v>198118</v>
      </c>
      <c r="F59" s="194">
        <f t="shared" si="2"/>
        <v>14454151</v>
      </c>
      <c r="G59" s="243">
        <f>INDEX(Data[FY2027 Budget Enrollment],MATCH(A59,Data[Label],0))</f>
        <v>1448.3</v>
      </c>
      <c r="H59" s="182">
        <f>'FY2027 RPDC Report'!K59</f>
        <v>11800748.4</v>
      </c>
      <c r="I59" s="182">
        <f>'FY2027 Categoricals Report'!W59</f>
        <v>2690661</v>
      </c>
      <c r="J59" s="182">
        <f>(ROUND(INDEX(Data[FY2026 Media Services],MATCH(A59,Data[Label],0))*(1+$B$6),2)+ROUND(INDEX(Data[FY2026 Ed Services],MATCH(A59,Data[Label],0))*(1+$B$6),2))*G59</f>
        <v>200415.75399999999</v>
      </c>
      <c r="K59" s="182">
        <f t="shared" si="3"/>
        <v>14691825.154000001</v>
      </c>
      <c r="L59" s="182">
        <f t="shared" si="4"/>
        <v>237674.15400000103</v>
      </c>
      <c r="M59" s="178">
        <f t="shared" si="5"/>
        <v>1.6443314726683086E-2</v>
      </c>
      <c r="N59" s="184">
        <f t="shared" si="0"/>
        <v>-12.100000000000136</v>
      </c>
      <c r="O59" s="185">
        <f t="shared" si="1"/>
        <v>-8.28540125992888E-3</v>
      </c>
    </row>
    <row r="60" spans="1:15" x14ac:dyDescent="0.55000000000000004">
      <c r="A60" s="197" t="s">
        <v>53</v>
      </c>
      <c r="B60" s="176">
        <f>INDEX(Data[FY2026 Budget Enrollment],MATCH(A60,Data[Label],0))</f>
        <v>601.5</v>
      </c>
      <c r="C60" s="177">
        <f>INDEX(Data[FY2026 RPDC Total],MATCH(A60,Data[Label],0))+INDEX(Data[FY2026 RPDC Budget Guarantee],MATCH(A60,Data[Label],0))</f>
        <v>4998654</v>
      </c>
      <c r="D60" s="177">
        <f>'FY2027 Categoricals Report'!L60</f>
        <v>1113181</v>
      </c>
      <c r="E60" s="177">
        <f>ROUND((INDEX(Data[FY2026 Media Services],MATCH(A60,Data[Label],0))+INDEX(Data[FY2026 Ed Services],MATCH(A60,Data[Label],0)))*B60,0)</f>
        <v>82315</v>
      </c>
      <c r="F60" s="193">
        <f t="shared" si="2"/>
        <v>6194150</v>
      </c>
      <c r="G60" s="244">
        <f>INDEX(Data[FY2027 Budget Enrollment],MATCH(A60,Data[Label],0))</f>
        <v>562.20000000000005</v>
      </c>
      <c r="H60" s="177">
        <f>'FY2027 RPDC Report'!K60</f>
        <v>4852829.6000000006</v>
      </c>
      <c r="I60" s="177">
        <f>'FY2027 Categoricals Report'!W60</f>
        <v>1103412</v>
      </c>
      <c r="J60" s="177">
        <f>(ROUND(INDEX(Data[FY2026 Media Services],MATCH(A60,Data[Label],0))*(1+$B$6),2)+ROUND(INDEX(Data[FY2026 Ed Services],MATCH(A60,Data[Label],0))*(1+$B$6),2))*G60</f>
        <v>78477.498000000007</v>
      </c>
      <c r="K60" s="177">
        <f t="shared" si="3"/>
        <v>6034719.0980000002</v>
      </c>
      <c r="L60" s="177">
        <f t="shared" si="4"/>
        <v>-159430.90199999977</v>
      </c>
      <c r="M60" s="178">
        <f t="shared" si="5"/>
        <v>-2.5738947555354611E-2</v>
      </c>
      <c r="N60" s="179">
        <f t="shared" si="0"/>
        <v>-39.299999999999955</v>
      </c>
      <c r="O60" s="180">
        <f t="shared" si="1"/>
        <v>-6.5336658354114632E-2</v>
      </c>
    </row>
    <row r="61" spans="1:15" x14ac:dyDescent="0.55000000000000004">
      <c r="A61" s="198" t="s">
        <v>54</v>
      </c>
      <c r="B61" s="181">
        <f>INDEX(Data[FY2026 Budget Enrollment],MATCH(A61,Data[Label],0))</f>
        <v>844.8</v>
      </c>
      <c r="C61" s="182">
        <f>INDEX(Data[FY2026 RPDC Total],MATCH(A61,Data[Label],0))+INDEX(Data[FY2026 RPDC Budget Guarantee],MATCH(A61,Data[Label],0))</f>
        <v>6748262</v>
      </c>
      <c r="D61" s="182">
        <f>'FY2027 Categoricals Report'!L61</f>
        <v>1310558</v>
      </c>
      <c r="E61" s="182">
        <f>ROUND((INDEX(Data[FY2026 Media Services],MATCH(A61,Data[Label],0))+INDEX(Data[FY2026 Ed Services],MATCH(A61,Data[Label],0)))*B61,0)</f>
        <v>115222</v>
      </c>
      <c r="F61" s="194">
        <f t="shared" si="2"/>
        <v>8174042</v>
      </c>
      <c r="G61" s="243">
        <f>INDEX(Data[FY2027 Budget Enrollment],MATCH(A61,Data[Label],0))</f>
        <v>830.3</v>
      </c>
      <c r="H61" s="182">
        <f>'FY2027 RPDC Report'!K61</f>
        <v>6815744.3999999994</v>
      </c>
      <c r="I61" s="182">
        <f>'FY2027 Categoricals Report'!W61</f>
        <v>1318579</v>
      </c>
      <c r="J61" s="182">
        <f>(ROUND(INDEX(Data[FY2026 Media Services],MATCH(A61,Data[Label],0))*(1+$B$6),2)+ROUND(INDEX(Data[FY2026 Ed Services],MATCH(A61,Data[Label],0))*(1+$B$6),2))*G61</f>
        <v>115511.336</v>
      </c>
      <c r="K61" s="182">
        <f t="shared" si="3"/>
        <v>8249834.7359999996</v>
      </c>
      <c r="L61" s="182">
        <f t="shared" si="4"/>
        <v>75792.735999999568</v>
      </c>
      <c r="M61" s="178">
        <f t="shared" si="5"/>
        <v>9.2723692880461797E-3</v>
      </c>
      <c r="N61" s="184">
        <f t="shared" si="0"/>
        <v>-14.5</v>
      </c>
      <c r="O61" s="185">
        <f t="shared" si="1"/>
        <v>-1.716382575757576E-2</v>
      </c>
    </row>
    <row r="62" spans="1:15" x14ac:dyDescent="0.55000000000000004">
      <c r="A62" s="197" t="s">
        <v>55</v>
      </c>
      <c r="B62" s="176">
        <f>INDEX(Data[FY2026 Budget Enrollment],MATCH(A62,Data[Label],0))</f>
        <v>732.8</v>
      </c>
      <c r="C62" s="177">
        <f>INDEX(Data[FY2026 RPDC Total],MATCH(A62,Data[Label],0))+INDEX(Data[FY2026 RPDC Budget Guarantee],MATCH(A62,Data[Label],0))</f>
        <v>6002495</v>
      </c>
      <c r="D62" s="177">
        <f>'FY2027 Categoricals Report'!L62</f>
        <v>1452975</v>
      </c>
      <c r="E62" s="177">
        <f>ROUND((INDEX(Data[FY2026 Media Services],MATCH(A62,Data[Label],0))+INDEX(Data[FY2026 Ed Services],MATCH(A62,Data[Label],0)))*B62,0)</f>
        <v>101368</v>
      </c>
      <c r="F62" s="193">
        <f t="shared" si="2"/>
        <v>7556838</v>
      </c>
      <c r="G62" s="244">
        <f>INDEX(Data[FY2027 Budget Enrollment],MATCH(A62,Data[Label],0))</f>
        <v>710.7</v>
      </c>
      <c r="H62" s="177">
        <f>'FY2027 RPDC Report'!K62</f>
        <v>5912141.6000000006</v>
      </c>
      <c r="I62" s="177">
        <f>'FY2027 Categoricals Report'!W62</f>
        <v>1473791</v>
      </c>
      <c r="J62" s="177">
        <f>(ROUND(INDEX(Data[FY2026 Media Services],MATCH(A62,Data[Label],0))*(1+$B$6),2)+ROUND(INDEX(Data[FY2026 Ed Services],MATCH(A62,Data[Label],0))*(1+$B$6),2))*G62</f>
        <v>100279.77</v>
      </c>
      <c r="K62" s="177">
        <f t="shared" si="3"/>
        <v>7486212.370000001</v>
      </c>
      <c r="L62" s="177">
        <f t="shared" si="4"/>
        <v>-70625.629999998957</v>
      </c>
      <c r="M62" s="178">
        <f t="shared" si="5"/>
        <v>-9.3459235198635939E-3</v>
      </c>
      <c r="N62" s="179">
        <f t="shared" si="0"/>
        <v>-22.099999999999909</v>
      </c>
      <c r="O62" s="180">
        <f t="shared" si="1"/>
        <v>-3.0158296943231321E-2</v>
      </c>
    </row>
    <row r="63" spans="1:15" x14ac:dyDescent="0.55000000000000004">
      <c r="A63" s="198" t="s">
        <v>56</v>
      </c>
      <c r="B63" s="181">
        <f>INDEX(Data[FY2026 Budget Enrollment],MATCH(A63,Data[Label],0))</f>
        <v>766.6</v>
      </c>
      <c r="C63" s="182">
        <f>INDEX(Data[FY2026 RPDC Total],MATCH(A63,Data[Label],0))+INDEX(Data[FY2026 RPDC Budget Guarantee],MATCH(A63,Data[Label],0))</f>
        <v>6187455</v>
      </c>
      <c r="D63" s="182">
        <f>'FY2027 Categoricals Report'!L63</f>
        <v>1272057</v>
      </c>
      <c r="E63" s="182">
        <f>ROUND((INDEX(Data[FY2026 Media Services],MATCH(A63,Data[Label],0))+INDEX(Data[FY2026 Ed Services],MATCH(A63,Data[Label],0)))*B63,0)</f>
        <v>105844</v>
      </c>
      <c r="F63" s="194">
        <f t="shared" si="2"/>
        <v>7565356</v>
      </c>
      <c r="G63" s="243">
        <f>INDEX(Data[FY2027 Budget Enrollment],MATCH(A63,Data[Label],0))</f>
        <v>727.1</v>
      </c>
      <c r="H63" s="182">
        <f>'FY2027 RPDC Report'!K63</f>
        <v>6184836.7999999998</v>
      </c>
      <c r="I63" s="182">
        <f>'FY2027 Categoricals Report'!W63</f>
        <v>1272057</v>
      </c>
      <c r="J63" s="182">
        <f>(ROUND(INDEX(Data[FY2026 Media Services],MATCH(A63,Data[Label],0))*(1+$B$6),2)+ROUND(INDEX(Data[FY2026 Ed Services],MATCH(A63,Data[Label],0))*(1+$B$6),2))*G63</f>
        <v>102404.76399999998</v>
      </c>
      <c r="K63" s="182">
        <f t="shared" si="3"/>
        <v>7559298.5639999993</v>
      </c>
      <c r="L63" s="182">
        <f t="shared" si="4"/>
        <v>-6057.4360000006855</v>
      </c>
      <c r="M63" s="178">
        <f t="shared" si="5"/>
        <v>-8.0068089327200011E-4</v>
      </c>
      <c r="N63" s="184">
        <f t="shared" si="0"/>
        <v>-39.5</v>
      </c>
      <c r="O63" s="185">
        <f t="shared" si="1"/>
        <v>-5.1526219671275762E-2</v>
      </c>
    </row>
    <row r="64" spans="1:15" x14ac:dyDescent="0.55000000000000004">
      <c r="A64" s="197" t="s">
        <v>57</v>
      </c>
      <c r="B64" s="176">
        <f>INDEX(Data[FY2026 Budget Enrollment],MATCH(A64,Data[Label],0))</f>
        <v>1322.6</v>
      </c>
      <c r="C64" s="177">
        <f>INDEX(Data[FY2026 RPDC Total],MATCH(A64,Data[Label],0))+INDEX(Data[FY2026 RPDC Budget Guarantee],MATCH(A64,Data[Label],0))</f>
        <v>10564929</v>
      </c>
      <c r="D64" s="177">
        <f>'FY2027 Categoricals Report'!L64</f>
        <v>1891049</v>
      </c>
      <c r="E64" s="177">
        <f>ROUND((INDEX(Data[FY2026 Media Services],MATCH(A64,Data[Label],0))+INDEX(Data[FY2026 Ed Services],MATCH(A64,Data[Label],0)))*B64,0)</f>
        <v>180389</v>
      </c>
      <c r="F64" s="193">
        <f t="shared" si="2"/>
        <v>12636367</v>
      </c>
      <c r="G64" s="244">
        <f>INDEX(Data[FY2027 Budget Enrollment],MATCH(A64,Data[Label],0))</f>
        <v>1297.0999999999999</v>
      </c>
      <c r="H64" s="177">
        <f>'FY2027 RPDC Report'!K64</f>
        <v>10670577.799999999</v>
      </c>
      <c r="I64" s="177">
        <f>'FY2027 Categoricals Report'!W64</f>
        <v>1891067</v>
      </c>
      <c r="J64" s="177">
        <f>(ROUND(INDEX(Data[FY2026 Media Services],MATCH(A64,Data[Label],0))*(1+$B$6),2)+ROUND(INDEX(Data[FY2026 Ed Services],MATCH(A64,Data[Label],0))*(1+$B$6),2))*G64</f>
        <v>180452.552</v>
      </c>
      <c r="K64" s="177">
        <f t="shared" si="3"/>
        <v>12742097.351999998</v>
      </c>
      <c r="L64" s="177">
        <f t="shared" si="4"/>
        <v>105730.35199999809</v>
      </c>
      <c r="M64" s="178">
        <f t="shared" si="5"/>
        <v>8.3671479310468023E-3</v>
      </c>
      <c r="N64" s="179">
        <f t="shared" si="0"/>
        <v>-25.5</v>
      </c>
      <c r="O64" s="180">
        <f t="shared" si="1"/>
        <v>-1.9280205655526992E-2</v>
      </c>
    </row>
    <row r="65" spans="1:15" x14ac:dyDescent="0.55000000000000004">
      <c r="A65" s="198" t="s">
        <v>58</v>
      </c>
      <c r="B65" s="181">
        <f>INDEX(Data[FY2026 Budget Enrollment],MATCH(A65,Data[Label],0))</f>
        <v>1420.8</v>
      </c>
      <c r="C65" s="182">
        <f>INDEX(Data[FY2026 RPDC Total],MATCH(A65,Data[Label],0))+INDEX(Data[FY2026 RPDC Budget Guarantee],MATCH(A65,Data[Label],0))</f>
        <v>11651622</v>
      </c>
      <c r="D65" s="182">
        <f>'FY2027 Categoricals Report'!L65</f>
        <v>2178365</v>
      </c>
      <c r="E65" s="182">
        <f>ROUND((INDEX(Data[FY2026 Media Services],MATCH(A65,Data[Label],0))+INDEX(Data[FY2026 Ed Services],MATCH(A65,Data[Label],0)))*B65,0)</f>
        <v>196170</v>
      </c>
      <c r="F65" s="194">
        <f t="shared" si="2"/>
        <v>14026157</v>
      </c>
      <c r="G65" s="243">
        <f>INDEX(Data[FY2027 Budget Enrollment],MATCH(A65,Data[Label],0))</f>
        <v>1320.2</v>
      </c>
      <c r="H65" s="182">
        <f>'FY2027 RPDC Report'!K65</f>
        <v>11491543.6</v>
      </c>
      <c r="I65" s="182">
        <f>'FY2027 Categoricals Report'!W65</f>
        <v>2178365</v>
      </c>
      <c r="J65" s="182">
        <f>(ROUND(INDEX(Data[FY2026 Media Services],MATCH(A65,Data[Label],0))*(1+$B$6),2)+ROUND(INDEX(Data[FY2026 Ed Services],MATCH(A65,Data[Label],0))*(1+$B$6),2))*G65</f>
        <v>185936.96799999996</v>
      </c>
      <c r="K65" s="182">
        <f t="shared" si="3"/>
        <v>13855845.568</v>
      </c>
      <c r="L65" s="182">
        <f t="shared" si="4"/>
        <v>-170311.43200000003</v>
      </c>
      <c r="M65" s="178">
        <f t="shared" si="5"/>
        <v>-1.2142415916205703E-2</v>
      </c>
      <c r="N65" s="184">
        <f t="shared" si="0"/>
        <v>-100.59999999999991</v>
      </c>
      <c r="O65" s="185">
        <f t="shared" si="1"/>
        <v>-7.0805180180180116E-2</v>
      </c>
    </row>
    <row r="66" spans="1:15" x14ac:dyDescent="0.55000000000000004">
      <c r="A66" s="197" t="s">
        <v>59</v>
      </c>
      <c r="B66" s="176">
        <f>INDEX(Data[FY2026 Budget Enrollment],MATCH(A66,Data[Label],0))</f>
        <v>288.39999999999998</v>
      </c>
      <c r="C66" s="177">
        <f>INDEX(Data[FY2026 RPDC Total],MATCH(A66,Data[Label],0))+INDEX(Data[FY2026 RPDC Budget Guarantee],MATCH(A66,Data[Label],0))</f>
        <v>2303739</v>
      </c>
      <c r="D66" s="177">
        <f>'FY2027 Categoricals Report'!L66</f>
        <v>520951</v>
      </c>
      <c r="E66" s="177">
        <f>ROUND((INDEX(Data[FY2026 Media Services],MATCH(A66,Data[Label],0))+INDEX(Data[FY2026 Ed Services],MATCH(A66,Data[Label],0)))*B66,0)</f>
        <v>39894</v>
      </c>
      <c r="F66" s="193">
        <f t="shared" si="2"/>
        <v>2864584</v>
      </c>
      <c r="G66" s="244">
        <f>INDEX(Data[FY2027 Budget Enrollment],MATCH(A66,Data[Label],0))</f>
        <v>263.5</v>
      </c>
      <c r="H66" s="177">
        <f>'FY2027 RPDC Report'!K66</f>
        <v>2326776</v>
      </c>
      <c r="I66" s="177">
        <f>'FY2027 Categoricals Report'!W66</f>
        <v>520951</v>
      </c>
      <c r="J66" s="177">
        <f>(ROUND(INDEX(Data[FY2026 Media Services],MATCH(A66,Data[Label],0))*(1+$B$6),2)+ROUND(INDEX(Data[FY2026 Ed Services],MATCH(A66,Data[Label],0))*(1+$B$6),2))*G66</f>
        <v>37179.85</v>
      </c>
      <c r="K66" s="177">
        <f t="shared" si="3"/>
        <v>2884906.85</v>
      </c>
      <c r="L66" s="177">
        <f t="shared" si="4"/>
        <v>20322.850000000093</v>
      </c>
      <c r="M66" s="178">
        <f t="shared" si="5"/>
        <v>7.0945205307297995E-3</v>
      </c>
      <c r="N66" s="179">
        <f t="shared" si="0"/>
        <v>-24.899999999999977</v>
      </c>
      <c r="O66" s="180">
        <f t="shared" si="1"/>
        <v>-8.6338418862690641E-2</v>
      </c>
    </row>
    <row r="67" spans="1:15" x14ac:dyDescent="0.55000000000000004">
      <c r="A67" s="198" t="s">
        <v>60</v>
      </c>
      <c r="B67" s="181">
        <f>INDEX(Data[FY2026 Budget Enrollment],MATCH(A67,Data[Label],0))</f>
        <v>1002</v>
      </c>
      <c r="C67" s="182">
        <f>INDEX(Data[FY2026 RPDC Total],MATCH(A67,Data[Label],0))+INDEX(Data[FY2026 RPDC Budget Guarantee],MATCH(A67,Data[Label],0))</f>
        <v>8231693</v>
      </c>
      <c r="D67" s="182">
        <f>'FY2027 Categoricals Report'!L67</f>
        <v>1461903</v>
      </c>
      <c r="E67" s="182">
        <f>ROUND((INDEX(Data[FY2026 Media Services],MATCH(A67,Data[Label],0))+INDEX(Data[FY2026 Ed Services],MATCH(A67,Data[Label],0)))*B67,0)</f>
        <v>138607</v>
      </c>
      <c r="F67" s="194">
        <f t="shared" si="2"/>
        <v>9832203</v>
      </c>
      <c r="G67" s="243">
        <f>INDEX(Data[FY2027 Budget Enrollment],MATCH(A67,Data[Label],0))</f>
        <v>1026.8</v>
      </c>
      <c r="H67" s="182">
        <f>'FY2027 RPDC Report'!K67</f>
        <v>8377661.1999999993</v>
      </c>
      <c r="I67" s="182">
        <f>'FY2027 Categoricals Report'!W67</f>
        <v>1516987</v>
      </c>
      <c r="J67" s="182">
        <f>(ROUND(INDEX(Data[FY2026 Media Services],MATCH(A67,Data[Label],0))*(1+$B$6),2)+ROUND(INDEX(Data[FY2026 Ed Services],MATCH(A67,Data[Label],0))*(1+$B$6),2))*G67</f>
        <v>144881.47999999998</v>
      </c>
      <c r="K67" s="182">
        <f t="shared" si="3"/>
        <v>10039529.68</v>
      </c>
      <c r="L67" s="182">
        <f t="shared" si="4"/>
        <v>207326.6799999997</v>
      </c>
      <c r="M67" s="178">
        <f t="shared" si="5"/>
        <v>2.1086493027045891E-2</v>
      </c>
      <c r="N67" s="184">
        <f t="shared" si="0"/>
        <v>24.799999999999955</v>
      </c>
      <c r="O67" s="185">
        <f t="shared" si="1"/>
        <v>2.4750499001995961E-2</v>
      </c>
    </row>
    <row r="68" spans="1:15" x14ac:dyDescent="0.55000000000000004">
      <c r="A68" s="197" t="s">
        <v>61</v>
      </c>
      <c r="B68" s="176">
        <f>INDEX(Data[FY2026 Budget Enrollment],MATCH(A68,Data[Label],0))</f>
        <v>966.3</v>
      </c>
      <c r="C68" s="177">
        <f>INDEX(Data[FY2026 RPDC Total],MATCH(A68,Data[Label],0))+INDEX(Data[FY2026 RPDC Budget Guarantee],MATCH(A68,Data[Label],0))</f>
        <v>7718804</v>
      </c>
      <c r="D68" s="177">
        <f>'FY2027 Categoricals Report'!L68</f>
        <v>1409928</v>
      </c>
      <c r="E68" s="177">
        <f>ROUND((INDEX(Data[FY2026 Media Services],MATCH(A68,Data[Label],0))+INDEX(Data[FY2026 Ed Services],MATCH(A68,Data[Label],0)))*B68,0)</f>
        <v>132238</v>
      </c>
      <c r="F68" s="193">
        <f t="shared" si="2"/>
        <v>9260970</v>
      </c>
      <c r="G68" s="244">
        <f>INDEX(Data[FY2027 Budget Enrollment],MATCH(A68,Data[Label],0))</f>
        <v>918.6</v>
      </c>
      <c r="H68" s="177">
        <f>'FY2027 RPDC Report'!K68</f>
        <v>7795991.7999999998</v>
      </c>
      <c r="I68" s="177">
        <f>'FY2027 Categoricals Report'!W68</f>
        <v>1409928</v>
      </c>
      <c r="J68" s="177">
        <f>(ROUND(INDEX(Data[FY2026 Media Services],MATCH(A68,Data[Label],0))*(1+$B$6),2)+ROUND(INDEX(Data[FY2026 Ed Services],MATCH(A68,Data[Label],0))*(1+$B$6),2))*G68</f>
        <v>128227.37400000001</v>
      </c>
      <c r="K68" s="177">
        <f t="shared" si="3"/>
        <v>9334147.1740000006</v>
      </c>
      <c r="L68" s="177">
        <f t="shared" si="4"/>
        <v>73177.174000000581</v>
      </c>
      <c r="M68" s="178">
        <f t="shared" si="5"/>
        <v>7.9016748785495014E-3</v>
      </c>
      <c r="N68" s="179">
        <f t="shared" si="0"/>
        <v>-47.699999999999932</v>
      </c>
      <c r="O68" s="180">
        <f t="shared" si="1"/>
        <v>-4.9363551692021043E-2</v>
      </c>
    </row>
    <row r="69" spans="1:15" x14ac:dyDescent="0.55000000000000004">
      <c r="A69" s="198" t="s">
        <v>62</v>
      </c>
      <c r="B69" s="181">
        <f>INDEX(Data[FY2026 Budget Enrollment],MATCH(A69,Data[Label],0))</f>
        <v>972</v>
      </c>
      <c r="C69" s="182">
        <f>INDEX(Data[FY2026 RPDC Total],MATCH(A69,Data[Label],0))+INDEX(Data[FY2026 RPDC Budget Guarantee],MATCH(A69,Data[Label],0))</f>
        <v>7764336</v>
      </c>
      <c r="D69" s="182">
        <f>'FY2027 Categoricals Report'!L69</f>
        <v>1351911</v>
      </c>
      <c r="E69" s="182">
        <f>ROUND((INDEX(Data[FY2026 Media Services],MATCH(A69,Data[Label],0))+INDEX(Data[FY2026 Ed Services],MATCH(A69,Data[Label],0)))*B69,0)</f>
        <v>134622</v>
      </c>
      <c r="F69" s="194">
        <f t="shared" si="2"/>
        <v>9250869</v>
      </c>
      <c r="G69" s="243">
        <f>INDEX(Data[FY2027 Budget Enrollment],MATCH(A69,Data[Label],0))</f>
        <v>982.4</v>
      </c>
      <c r="H69" s="182">
        <f>'FY2027 RPDC Report'!K69</f>
        <v>8004595.2000000002</v>
      </c>
      <c r="I69" s="182">
        <f>'FY2027 Categoricals Report'!W69</f>
        <v>1392015</v>
      </c>
      <c r="J69" s="182">
        <f>(ROUND(INDEX(Data[FY2026 Media Services],MATCH(A69,Data[Label],0))*(1+$B$6),2)+ROUND(INDEX(Data[FY2026 Ed Services],MATCH(A69,Data[Label],0))*(1+$B$6),2))*G69</f>
        <v>138783.64800000002</v>
      </c>
      <c r="K69" s="182">
        <f t="shared" si="3"/>
        <v>9535393.8480000012</v>
      </c>
      <c r="L69" s="182">
        <f t="shared" si="4"/>
        <v>284524.84800000116</v>
      </c>
      <c r="M69" s="178">
        <f t="shared" si="5"/>
        <v>3.0756553573507654E-2</v>
      </c>
      <c r="N69" s="184">
        <f t="shared" si="0"/>
        <v>10.399999999999977</v>
      </c>
      <c r="O69" s="185">
        <f t="shared" si="1"/>
        <v>1.0699588477366231E-2</v>
      </c>
    </row>
    <row r="70" spans="1:15" x14ac:dyDescent="0.55000000000000004">
      <c r="A70" s="197" t="s">
        <v>63</v>
      </c>
      <c r="B70" s="176">
        <f>INDEX(Data[FY2026 Budget Enrollment],MATCH(A70,Data[Label],0))</f>
        <v>1477.4</v>
      </c>
      <c r="C70" s="177">
        <f>INDEX(Data[FY2026 RPDC Total],MATCH(A70,Data[Label],0))+INDEX(Data[FY2026 RPDC Budget Guarantee],MATCH(A70,Data[Label],0))</f>
        <v>11801471</v>
      </c>
      <c r="D70" s="177">
        <f>'FY2027 Categoricals Report'!L70</f>
        <v>2135161</v>
      </c>
      <c r="E70" s="177">
        <f>ROUND((INDEX(Data[FY2026 Media Services],MATCH(A70,Data[Label],0))+INDEX(Data[FY2026 Ed Services],MATCH(A70,Data[Label],0)))*B70,0)</f>
        <v>202182</v>
      </c>
      <c r="F70" s="193">
        <f t="shared" si="2"/>
        <v>14138814</v>
      </c>
      <c r="G70" s="244">
        <f>INDEX(Data[FY2027 Budget Enrollment],MATCH(A70,Data[Label],0))</f>
        <v>1435.2</v>
      </c>
      <c r="H70" s="177">
        <f>'FY2027 RPDC Report'!K70</f>
        <v>11919485.6</v>
      </c>
      <c r="I70" s="177">
        <f>'FY2027 Categoricals Report'!W70</f>
        <v>2147996</v>
      </c>
      <c r="J70" s="177">
        <f>(ROUND(INDEX(Data[FY2026 Media Services],MATCH(A70,Data[Label],0))*(1+$B$6),2)+ROUND(INDEX(Data[FY2026 Ed Services],MATCH(A70,Data[Label],0))*(1+$B$6),2))*G70</f>
        <v>200339.568</v>
      </c>
      <c r="K70" s="177">
        <f t="shared" si="3"/>
        <v>14267821.168</v>
      </c>
      <c r="L70" s="177">
        <f t="shared" si="4"/>
        <v>129007.1679999996</v>
      </c>
      <c r="M70" s="178">
        <f t="shared" si="5"/>
        <v>9.124327401152571E-3</v>
      </c>
      <c r="N70" s="179">
        <f t="shared" si="0"/>
        <v>-42.200000000000045</v>
      </c>
      <c r="O70" s="180">
        <f t="shared" si="1"/>
        <v>-2.8563692974143795E-2</v>
      </c>
    </row>
    <row r="71" spans="1:15" x14ac:dyDescent="0.55000000000000004">
      <c r="A71" s="198" t="s">
        <v>64</v>
      </c>
      <c r="B71" s="181">
        <f>INDEX(Data[FY2026 Budget Enrollment],MATCH(A71,Data[Label],0))</f>
        <v>272.60000000000002</v>
      </c>
      <c r="C71" s="182">
        <f>INDEX(Data[FY2026 RPDC Total],MATCH(A71,Data[Label],0))+INDEX(Data[FY2026 RPDC Budget Guarantee],MATCH(A71,Data[Label],0))</f>
        <v>2217936</v>
      </c>
      <c r="D71" s="182">
        <f>'FY2027 Categoricals Report'!L71</f>
        <v>567468</v>
      </c>
      <c r="E71" s="182">
        <f>ROUND((INDEX(Data[FY2026 Media Services],MATCH(A71,Data[Label],0))+INDEX(Data[FY2026 Ed Services],MATCH(A71,Data[Label],0)))*B71,0)</f>
        <v>37638</v>
      </c>
      <c r="F71" s="194">
        <f t="shared" si="2"/>
        <v>2823042</v>
      </c>
      <c r="G71" s="243">
        <f>INDEX(Data[FY2027 Budget Enrollment],MATCH(A71,Data[Label],0))</f>
        <v>263.89999999999998</v>
      </c>
      <c r="H71" s="182">
        <f>'FY2027 RPDC Report'!K71</f>
        <v>2199304.1999999997</v>
      </c>
      <c r="I71" s="182">
        <f>'FY2027 Categoricals Report'!W71</f>
        <v>566626</v>
      </c>
      <c r="J71" s="182">
        <f>(ROUND(INDEX(Data[FY2026 Media Services],MATCH(A71,Data[Label],0))*(1+$B$6),2)+ROUND(INDEX(Data[FY2026 Ed Services],MATCH(A71,Data[Label],0))*(1+$B$6),2))*G71</f>
        <v>37167.675999999992</v>
      </c>
      <c r="K71" s="182">
        <f t="shared" si="3"/>
        <v>2803097.8759999997</v>
      </c>
      <c r="L71" s="182">
        <f t="shared" si="4"/>
        <v>-19944.124000000302</v>
      </c>
      <c r="M71" s="178">
        <f t="shared" si="5"/>
        <v>-7.0647634714610342E-3</v>
      </c>
      <c r="N71" s="184">
        <f t="shared" si="0"/>
        <v>-8.7000000000000455</v>
      </c>
      <c r="O71" s="185">
        <f t="shared" si="1"/>
        <v>-3.1914893617021441E-2</v>
      </c>
    </row>
    <row r="72" spans="1:15" x14ac:dyDescent="0.55000000000000004">
      <c r="A72" s="197" t="s">
        <v>65</v>
      </c>
      <c r="B72" s="176">
        <f>INDEX(Data[FY2026 Budget Enrollment],MATCH(A72,Data[Label],0))</f>
        <v>268</v>
      </c>
      <c r="C72" s="177">
        <f>INDEX(Data[FY2026 RPDC Total],MATCH(A72,Data[Label],0))+INDEX(Data[FY2026 RPDC Budget Guarantee],MATCH(A72,Data[Label],0))</f>
        <v>2164368</v>
      </c>
      <c r="D72" s="177">
        <f>'FY2027 Categoricals Report'!L72</f>
        <v>529629</v>
      </c>
      <c r="E72" s="177">
        <f>ROUND((INDEX(Data[FY2026 Media Services],MATCH(A72,Data[Label],0))+INDEX(Data[FY2026 Ed Services],MATCH(A72,Data[Label],0)))*B72,0)</f>
        <v>37118</v>
      </c>
      <c r="F72" s="193">
        <f t="shared" si="2"/>
        <v>2731115</v>
      </c>
      <c r="G72" s="244">
        <f>INDEX(Data[FY2027 Budget Enrollment],MATCH(A72,Data[Label],0))</f>
        <v>301.10000000000002</v>
      </c>
      <c r="H72" s="177">
        <f>'FY2027 RPDC Report'!K72</f>
        <v>2479859.6</v>
      </c>
      <c r="I72" s="177">
        <f>'FY2027 Categoricals Report'!W72</f>
        <v>624709</v>
      </c>
      <c r="J72" s="177">
        <f>(ROUND(INDEX(Data[FY2026 Media Services],MATCH(A72,Data[Label],0))*(1+$B$6),2)+ROUND(INDEX(Data[FY2026 Ed Services],MATCH(A72,Data[Label],0))*(1+$B$6),2))*G72</f>
        <v>42536.397000000004</v>
      </c>
      <c r="K72" s="177">
        <f t="shared" si="3"/>
        <v>3147104.997</v>
      </c>
      <c r="L72" s="177">
        <f t="shared" si="4"/>
        <v>415989.99699999997</v>
      </c>
      <c r="M72" s="178">
        <f t="shared" si="5"/>
        <v>0.15231507900619343</v>
      </c>
      <c r="N72" s="179">
        <f t="shared" si="0"/>
        <v>33.100000000000023</v>
      </c>
      <c r="O72" s="180">
        <f t="shared" si="1"/>
        <v>0.12350746268656725</v>
      </c>
    </row>
    <row r="73" spans="1:15" x14ac:dyDescent="0.55000000000000004">
      <c r="A73" s="198" t="s">
        <v>66</v>
      </c>
      <c r="B73" s="181">
        <f>INDEX(Data[FY2026 Budget Enrollment],MATCH(A73,Data[Label],0))</f>
        <v>638</v>
      </c>
      <c r="C73" s="182">
        <f>INDEX(Data[FY2026 RPDC Total],MATCH(A73,Data[Label],0))+INDEX(Data[FY2026 RPDC Budget Guarantee],MATCH(A73,Data[Label],0))</f>
        <v>5129520</v>
      </c>
      <c r="D73" s="182">
        <f>'FY2027 Categoricals Report'!L73</f>
        <v>989673</v>
      </c>
      <c r="E73" s="182">
        <f>ROUND((INDEX(Data[FY2026 Media Services],MATCH(A73,Data[Label],0))+INDEX(Data[FY2026 Ed Services],MATCH(A73,Data[Label],0)))*B73,0)</f>
        <v>88012</v>
      </c>
      <c r="F73" s="194">
        <f t="shared" si="2"/>
        <v>6207205</v>
      </c>
      <c r="G73" s="243">
        <f>INDEX(Data[FY2027 Budget Enrollment],MATCH(A73,Data[Label],0))</f>
        <v>625.1</v>
      </c>
      <c r="H73" s="182">
        <f>'FY2027 RPDC Report'!K73</f>
        <v>5180815</v>
      </c>
      <c r="I73" s="182">
        <f>'FY2027 Categoricals Report'!W73</f>
        <v>989742</v>
      </c>
      <c r="J73" s="182">
        <f>(ROUND(INDEX(Data[FY2026 Media Services],MATCH(A73,Data[Label],0))*(1+$B$6),2)+ROUND(INDEX(Data[FY2026 Ed Services],MATCH(A73,Data[Label],0))*(1+$B$6),2))*G73</f>
        <v>87957.820999999996</v>
      </c>
      <c r="K73" s="182">
        <f t="shared" si="3"/>
        <v>6258514.8210000005</v>
      </c>
      <c r="L73" s="182">
        <f t="shared" si="4"/>
        <v>51309.821000000462</v>
      </c>
      <c r="M73" s="178">
        <f t="shared" si="5"/>
        <v>8.266171489422448E-3</v>
      </c>
      <c r="N73" s="184">
        <f t="shared" si="0"/>
        <v>-12.899999999999977</v>
      </c>
      <c r="O73" s="185">
        <f t="shared" si="1"/>
        <v>-2.0219435736677081E-2</v>
      </c>
    </row>
    <row r="74" spans="1:15" x14ac:dyDescent="0.55000000000000004">
      <c r="A74" s="197" t="s">
        <v>67</v>
      </c>
      <c r="B74" s="176">
        <f>INDEX(Data[FY2026 Budget Enrollment],MATCH(A74,Data[Label],0))</f>
        <v>3122.5</v>
      </c>
      <c r="C74" s="177">
        <f>INDEX(Data[FY2026 RPDC Total],MATCH(A74,Data[Label],0))+INDEX(Data[FY2026 RPDC Budget Guarantee],MATCH(A74,Data[Label],0))</f>
        <v>24942530</v>
      </c>
      <c r="D74" s="177">
        <f>'FY2027 Categoricals Report'!L74</f>
        <v>4363254</v>
      </c>
      <c r="E74" s="177">
        <f>ROUND((INDEX(Data[FY2026 Media Services],MATCH(A74,Data[Label],0))+INDEX(Data[FY2026 Ed Services],MATCH(A74,Data[Label],0)))*B74,0)</f>
        <v>426034</v>
      </c>
      <c r="F74" s="193">
        <f t="shared" si="2"/>
        <v>29731818</v>
      </c>
      <c r="G74" s="244">
        <f>INDEX(Data[FY2027 Budget Enrollment],MATCH(A74,Data[Label],0))</f>
        <v>3204.4</v>
      </c>
      <c r="H74" s="177">
        <f>'FY2027 RPDC Report'!K74</f>
        <v>26109451.199999999</v>
      </c>
      <c r="I74" s="177">
        <f>'FY2027 Categoricals Report'!W74</f>
        <v>4607910</v>
      </c>
      <c r="J74" s="177">
        <f>(ROUND(INDEX(Data[FY2026 Media Services],MATCH(A74,Data[Label],0))*(1+$B$6),2)+ROUND(INDEX(Data[FY2026 Ed Services],MATCH(A74,Data[Label],0))*(1+$B$6),2))*G74</f>
        <v>445956.34800000006</v>
      </c>
      <c r="K74" s="177">
        <f t="shared" si="3"/>
        <v>31163317.548</v>
      </c>
      <c r="L74" s="177">
        <f t="shared" si="4"/>
        <v>1431499.5480000004</v>
      </c>
      <c r="M74" s="178">
        <f t="shared" si="5"/>
        <v>4.8147057404965964E-2</v>
      </c>
      <c r="N74" s="179">
        <f t="shared" ref="N74:N137" si="6">G74-B74</f>
        <v>81.900000000000091</v>
      </c>
      <c r="O74" s="180">
        <f t="shared" ref="O74:O137" si="7">N74/B74</f>
        <v>2.622898318654927E-2</v>
      </c>
    </row>
    <row r="75" spans="1:15" x14ac:dyDescent="0.55000000000000004">
      <c r="A75" s="198" t="s">
        <v>68</v>
      </c>
      <c r="B75" s="181">
        <f>INDEX(Data[FY2026 Budget Enrollment],MATCH(A75,Data[Label],0))</f>
        <v>1140.4000000000001</v>
      </c>
      <c r="C75" s="182">
        <f>INDEX(Data[FY2026 RPDC Total],MATCH(A75,Data[Label],0))+INDEX(Data[FY2026 RPDC Budget Guarantee],MATCH(A75,Data[Label],0))</f>
        <v>9162618</v>
      </c>
      <c r="D75" s="182">
        <f>'FY2027 Categoricals Report'!L75</f>
        <v>1650748</v>
      </c>
      <c r="E75" s="182">
        <f>ROUND((INDEX(Data[FY2026 Media Services],MATCH(A75,Data[Label],0))+INDEX(Data[FY2026 Ed Services],MATCH(A75,Data[Label],0)))*B75,0)</f>
        <v>157455</v>
      </c>
      <c r="F75" s="194">
        <f t="shared" ref="F75:F138" si="8">E75+D75+C75</f>
        <v>10970821</v>
      </c>
      <c r="G75" s="243">
        <f>INDEX(Data[FY2027 Budget Enrollment],MATCH(A75,Data[Label],0))</f>
        <v>1077.9000000000001</v>
      </c>
      <c r="H75" s="182">
        <f>'FY2027 RPDC Report'!K75</f>
        <v>9200610.2000000011</v>
      </c>
      <c r="I75" s="182">
        <f>'FY2027 Categoricals Report'!W75</f>
        <v>1650748</v>
      </c>
      <c r="J75" s="182">
        <f>(ROUND(INDEX(Data[FY2026 Media Services],MATCH(A75,Data[Label],0))*(1+$B$6),2)+ROUND(INDEX(Data[FY2026 Ed Services],MATCH(A75,Data[Label],0))*(1+$B$6),2))*G75</f>
        <v>151811.43599999999</v>
      </c>
      <c r="K75" s="182">
        <f t="shared" ref="K75:K138" si="9">I75+J75+H75</f>
        <v>11003169.636000002</v>
      </c>
      <c r="L75" s="182">
        <f t="shared" ref="L75:L138" si="10">K75-F75</f>
        <v>32348.636000001803</v>
      </c>
      <c r="M75" s="178">
        <f t="shared" ref="M75:M138" si="11">L75/F75</f>
        <v>2.9486066721899668E-3</v>
      </c>
      <c r="N75" s="184">
        <f t="shared" si="6"/>
        <v>-62.5</v>
      </c>
      <c r="O75" s="185">
        <f t="shared" si="7"/>
        <v>-5.4805331462644678E-2</v>
      </c>
    </row>
    <row r="76" spans="1:15" x14ac:dyDescent="0.55000000000000004">
      <c r="A76" s="197" t="s">
        <v>69</v>
      </c>
      <c r="B76" s="176">
        <f>INDEX(Data[FY2026 Budget Enrollment],MATCH(A76,Data[Label],0))</f>
        <v>3584.2</v>
      </c>
      <c r="C76" s="177">
        <f>INDEX(Data[FY2026 RPDC Total],MATCH(A76,Data[Label],0))+INDEX(Data[FY2026 RPDC Budget Guarantee],MATCH(A76,Data[Label],0))</f>
        <v>28652095</v>
      </c>
      <c r="D76" s="177">
        <f>'FY2027 Categoricals Report'!L76</f>
        <v>4961341</v>
      </c>
      <c r="E76" s="177">
        <f>ROUND((INDEX(Data[FY2026 Media Services],MATCH(A76,Data[Label],0))+INDEX(Data[FY2026 Ed Services],MATCH(A76,Data[Label],0)))*B76,0)</f>
        <v>486233</v>
      </c>
      <c r="F76" s="193">
        <f t="shared" si="8"/>
        <v>34099669</v>
      </c>
      <c r="G76" s="244">
        <f>INDEX(Data[FY2027 Budget Enrollment],MATCH(A76,Data[Label],0))</f>
        <v>3614.9</v>
      </c>
      <c r="H76" s="177">
        <f>'FY2027 RPDC Report'!K76</f>
        <v>29475894.600000001</v>
      </c>
      <c r="I76" s="177">
        <f>'FY2027 Categoricals Report'!W76</f>
        <v>5113939</v>
      </c>
      <c r="J76" s="177">
        <f>(ROUND(INDEX(Data[FY2026 Media Services],MATCH(A76,Data[Label],0))*(1+$B$6),2)+ROUND(INDEX(Data[FY2026 Ed Services],MATCH(A76,Data[Label],0))*(1+$B$6),2))*G76</f>
        <v>500229.86200000002</v>
      </c>
      <c r="K76" s="177">
        <f t="shared" si="9"/>
        <v>35090063.461999997</v>
      </c>
      <c r="L76" s="177">
        <f t="shared" si="10"/>
        <v>990394.4619999975</v>
      </c>
      <c r="M76" s="178">
        <f t="shared" si="11"/>
        <v>2.9044107788846793E-2</v>
      </c>
      <c r="N76" s="179">
        <f t="shared" si="6"/>
        <v>30.700000000000273</v>
      </c>
      <c r="O76" s="180">
        <f t="shared" si="7"/>
        <v>8.5653702360360129E-3</v>
      </c>
    </row>
    <row r="77" spans="1:15" x14ac:dyDescent="0.55000000000000004">
      <c r="A77" s="198" t="s">
        <v>70</v>
      </c>
      <c r="B77" s="181">
        <f>INDEX(Data[FY2026 Budget Enrollment],MATCH(A77,Data[Label],0))</f>
        <v>684.5</v>
      </c>
      <c r="C77" s="182">
        <f>INDEX(Data[FY2026 RPDC Total],MATCH(A77,Data[Label],0))+INDEX(Data[FY2026 RPDC Budget Guarantee],MATCH(A77,Data[Label],0))</f>
        <v>5616768</v>
      </c>
      <c r="D77" s="182">
        <f>'FY2027 Categoricals Report'!L77</f>
        <v>1099237</v>
      </c>
      <c r="E77" s="182">
        <f>ROUND((INDEX(Data[FY2026 Media Services],MATCH(A77,Data[Label],0))+INDEX(Data[FY2026 Ed Services],MATCH(A77,Data[Label],0)))*B77,0)</f>
        <v>93188</v>
      </c>
      <c r="F77" s="194">
        <f t="shared" si="8"/>
        <v>6809193</v>
      </c>
      <c r="G77" s="243">
        <f>INDEX(Data[FY2027 Budget Enrollment],MATCH(A77,Data[Label],0))</f>
        <v>663.4</v>
      </c>
      <c r="H77" s="182">
        <f>'FY2027 RPDC Report'!K77</f>
        <v>5522464.2000000002</v>
      </c>
      <c r="I77" s="182">
        <f>'FY2027 Categoricals Report'!W77</f>
        <v>1093006</v>
      </c>
      <c r="J77" s="182">
        <f>(ROUND(INDEX(Data[FY2026 Media Services],MATCH(A77,Data[Label],0))*(1+$B$6),2)+ROUND(INDEX(Data[FY2026 Ed Services],MATCH(A77,Data[Label],0))*(1+$B$6),2))*G77</f>
        <v>92126.357999999993</v>
      </c>
      <c r="K77" s="182">
        <f t="shared" si="9"/>
        <v>6707596.5580000002</v>
      </c>
      <c r="L77" s="182">
        <f t="shared" si="10"/>
        <v>-101596.44199999981</v>
      </c>
      <c r="M77" s="178">
        <f t="shared" si="11"/>
        <v>-1.4920482060062008E-2</v>
      </c>
      <c r="N77" s="184">
        <f t="shared" si="6"/>
        <v>-21.100000000000023</v>
      </c>
      <c r="O77" s="185">
        <f t="shared" si="7"/>
        <v>-3.0825420014609237E-2</v>
      </c>
    </row>
    <row r="78" spans="1:15" x14ac:dyDescent="0.55000000000000004">
      <c r="A78" s="197" t="s">
        <v>71</v>
      </c>
      <c r="B78" s="176">
        <f>INDEX(Data[FY2026 Budget Enrollment],MATCH(A78,Data[Label],0))</f>
        <v>5113.8</v>
      </c>
      <c r="C78" s="177">
        <f>INDEX(Data[FY2026 RPDC Total],MATCH(A78,Data[Label],0))+INDEX(Data[FY2026 RPDC Budget Guarantee],MATCH(A78,Data[Label],0))</f>
        <v>40849034</v>
      </c>
      <c r="D78" s="177">
        <f>'FY2027 Categoricals Report'!L78</f>
        <v>6785133</v>
      </c>
      <c r="E78" s="177">
        <f>ROUND((INDEX(Data[FY2026 Media Services],MATCH(A78,Data[Label],0))+INDEX(Data[FY2026 Ed Services],MATCH(A78,Data[Label],0)))*B78,0)</f>
        <v>697727</v>
      </c>
      <c r="F78" s="193">
        <f t="shared" si="8"/>
        <v>48331894</v>
      </c>
      <c r="G78" s="244">
        <f>INDEX(Data[FY2027 Budget Enrollment],MATCH(A78,Data[Label],0))</f>
        <v>5026.6000000000004</v>
      </c>
      <c r="H78" s="177">
        <f>'FY2027 RPDC Report'!K78</f>
        <v>41257524.800000004</v>
      </c>
      <c r="I78" s="177">
        <f>'FY2027 Categoricals Report'!W78</f>
        <v>6868814</v>
      </c>
      <c r="J78" s="177">
        <f>(ROUND(INDEX(Data[FY2026 Media Services],MATCH(A78,Data[Label],0))*(1+$B$6),2)+ROUND(INDEX(Data[FY2026 Ed Services],MATCH(A78,Data[Label],0))*(1+$B$6),2))*G78</f>
        <v>699551.92200000014</v>
      </c>
      <c r="K78" s="177">
        <f t="shared" si="9"/>
        <v>48825890.722000003</v>
      </c>
      <c r="L78" s="177">
        <f t="shared" si="10"/>
        <v>493996.72200000286</v>
      </c>
      <c r="M78" s="178">
        <f t="shared" si="11"/>
        <v>1.0220926206616337E-2</v>
      </c>
      <c r="N78" s="179">
        <f t="shared" si="6"/>
        <v>-87.199999999999818</v>
      </c>
      <c r="O78" s="180">
        <f t="shared" si="7"/>
        <v>-1.7051898783683329E-2</v>
      </c>
    </row>
    <row r="79" spans="1:15" x14ac:dyDescent="0.55000000000000004">
      <c r="A79" s="198" t="s">
        <v>72</v>
      </c>
      <c r="B79" s="181">
        <f>INDEX(Data[FY2026 Budget Enrollment],MATCH(A79,Data[Label],0))</f>
        <v>418.1</v>
      </c>
      <c r="C79" s="182">
        <f>INDEX(Data[FY2026 RPDC Total],MATCH(A79,Data[Label],0))+INDEX(Data[FY2026 RPDC Budget Guarantee],MATCH(A79,Data[Label],0))</f>
        <v>3491311</v>
      </c>
      <c r="D79" s="182">
        <f>'FY2027 Categoricals Report'!L79</f>
        <v>762939</v>
      </c>
      <c r="E79" s="182">
        <f>ROUND((INDEX(Data[FY2026 Media Services],MATCH(A79,Data[Label],0))+INDEX(Data[FY2026 Ed Services],MATCH(A79,Data[Label],0)))*B79,0)</f>
        <v>56920</v>
      </c>
      <c r="F79" s="194">
        <f t="shared" si="8"/>
        <v>4311170</v>
      </c>
      <c r="G79" s="243">
        <f>INDEX(Data[FY2027 Budget Enrollment],MATCH(A79,Data[Label],0))</f>
        <v>422</v>
      </c>
      <c r="H79" s="182">
        <f>'FY2027 RPDC Report'!K79</f>
        <v>3438456</v>
      </c>
      <c r="I79" s="182">
        <f>'FY2027 Categoricals Report'!W79</f>
        <v>776104</v>
      </c>
      <c r="J79" s="182">
        <f>(ROUND(INDEX(Data[FY2026 Media Services],MATCH(A79,Data[Label],0))*(1+$B$6),2)+ROUND(INDEX(Data[FY2026 Ed Services],MATCH(A79,Data[Label],0))*(1+$B$6),2))*G79</f>
        <v>58603.14</v>
      </c>
      <c r="K79" s="182">
        <f t="shared" si="9"/>
        <v>4273163.1399999997</v>
      </c>
      <c r="L79" s="182">
        <f t="shared" si="10"/>
        <v>-38006.860000000335</v>
      </c>
      <c r="M79" s="178">
        <f t="shared" si="11"/>
        <v>-8.8159038033759594E-3</v>
      </c>
      <c r="N79" s="184">
        <f t="shared" si="6"/>
        <v>3.8999999999999773</v>
      </c>
      <c r="O79" s="185">
        <f t="shared" si="7"/>
        <v>9.3279119827791839E-3</v>
      </c>
    </row>
    <row r="80" spans="1:15" x14ac:dyDescent="0.55000000000000004">
      <c r="A80" s="197" t="s">
        <v>73</v>
      </c>
      <c r="B80" s="176">
        <f>INDEX(Data[FY2026 Budget Enrollment],MATCH(A80,Data[Label],0))</f>
        <v>452</v>
      </c>
      <c r="C80" s="177">
        <f>INDEX(Data[FY2026 RPDC Total],MATCH(A80,Data[Label],0))+INDEX(Data[FY2026 RPDC Budget Guarantee],MATCH(A80,Data[Label],0))</f>
        <v>3610576</v>
      </c>
      <c r="D80" s="177">
        <f>'FY2027 Categoricals Report'!L80</f>
        <v>769037</v>
      </c>
      <c r="E80" s="177">
        <f>ROUND((INDEX(Data[FY2026 Media Services],MATCH(A80,Data[Label],0))+INDEX(Data[FY2026 Ed Services],MATCH(A80,Data[Label],0)))*B80,0)</f>
        <v>61535</v>
      </c>
      <c r="F80" s="193">
        <f t="shared" si="8"/>
        <v>4441148</v>
      </c>
      <c r="G80" s="244">
        <f>INDEX(Data[FY2027 Budget Enrollment],MATCH(A80,Data[Label],0))</f>
        <v>440.5</v>
      </c>
      <c r="H80" s="177">
        <f>'FY2027 RPDC Report'!K80</f>
        <v>3646682</v>
      </c>
      <c r="I80" s="177">
        <f>'FY2027 Categoricals Report'!W80</f>
        <v>769037</v>
      </c>
      <c r="J80" s="177">
        <f>(ROUND(INDEX(Data[FY2026 Media Services],MATCH(A80,Data[Label],0))*(1+$B$6),2)+ROUND(INDEX(Data[FY2026 Ed Services],MATCH(A80,Data[Label],0))*(1+$B$6),2))*G80</f>
        <v>61172.235000000001</v>
      </c>
      <c r="K80" s="177">
        <f t="shared" si="9"/>
        <v>4476891.2350000003</v>
      </c>
      <c r="L80" s="177">
        <f t="shared" si="10"/>
        <v>35743.235000000335</v>
      </c>
      <c r="M80" s="178">
        <f t="shared" si="11"/>
        <v>8.0481972228802854E-3</v>
      </c>
      <c r="N80" s="179">
        <f t="shared" si="6"/>
        <v>-11.5</v>
      </c>
      <c r="O80" s="180">
        <f t="shared" si="7"/>
        <v>-2.5442477876106196E-2</v>
      </c>
    </row>
    <row r="81" spans="1:15" x14ac:dyDescent="0.55000000000000004">
      <c r="A81" s="198" t="s">
        <v>74</v>
      </c>
      <c r="B81" s="181">
        <f>INDEX(Data[FY2026 Budget Enrollment],MATCH(A81,Data[Label],0))</f>
        <v>762.5</v>
      </c>
      <c r="C81" s="182">
        <f>INDEX(Data[FY2026 RPDC Total],MATCH(A81,Data[Label],0))+INDEX(Data[FY2026 RPDC Budget Guarantee],MATCH(A81,Data[Label],0))</f>
        <v>6090850</v>
      </c>
      <c r="D81" s="182">
        <f>'FY2027 Categoricals Report'!L81</f>
        <v>1290713</v>
      </c>
      <c r="E81" s="182">
        <f>ROUND((INDEX(Data[FY2026 Media Services],MATCH(A81,Data[Label],0))+INDEX(Data[FY2026 Ed Services],MATCH(A81,Data[Label],0)))*B81,0)</f>
        <v>103441</v>
      </c>
      <c r="F81" s="194">
        <f t="shared" si="8"/>
        <v>7485004</v>
      </c>
      <c r="G81" s="243">
        <f>INDEX(Data[FY2027 Budget Enrollment],MATCH(A81,Data[Label],0))</f>
        <v>738.2</v>
      </c>
      <c r="H81" s="182">
        <f>'FY2027 RPDC Report'!K81</f>
        <v>6151758.6000000006</v>
      </c>
      <c r="I81" s="182">
        <f>'FY2027 Categoricals Report'!W81</f>
        <v>1290713</v>
      </c>
      <c r="J81" s="182">
        <f>(ROUND(INDEX(Data[FY2026 Media Services],MATCH(A81,Data[Label],0))*(1+$B$6),2)+ROUND(INDEX(Data[FY2026 Ed Services],MATCH(A81,Data[Label],0))*(1+$B$6),2))*G81</f>
        <v>102152.11600000001</v>
      </c>
      <c r="K81" s="182">
        <f t="shared" si="9"/>
        <v>7544623.716</v>
      </c>
      <c r="L81" s="182">
        <f t="shared" si="10"/>
        <v>59619.716000000015</v>
      </c>
      <c r="M81" s="178">
        <f t="shared" si="11"/>
        <v>7.965221661872194E-3</v>
      </c>
      <c r="N81" s="184">
        <f t="shared" si="6"/>
        <v>-24.299999999999955</v>
      </c>
      <c r="O81" s="185">
        <f t="shared" si="7"/>
        <v>-3.1868852459016335E-2</v>
      </c>
    </row>
    <row r="82" spans="1:15" x14ac:dyDescent="0.55000000000000004">
      <c r="A82" s="197" t="s">
        <v>75</v>
      </c>
      <c r="B82" s="176">
        <f>INDEX(Data[FY2026 Budget Enrollment],MATCH(A82,Data[Label],0))</f>
        <v>440.4</v>
      </c>
      <c r="C82" s="177">
        <f>INDEX(Data[FY2026 RPDC Total],MATCH(A82,Data[Label],0))+INDEX(Data[FY2026 RPDC Budget Guarantee],MATCH(A82,Data[Label],0))</f>
        <v>3565038</v>
      </c>
      <c r="D82" s="177">
        <f>'FY2027 Categoricals Report'!L82</f>
        <v>849624</v>
      </c>
      <c r="E82" s="177">
        <f>ROUND((INDEX(Data[FY2026 Media Services],MATCH(A82,Data[Label],0))+INDEX(Data[FY2026 Ed Services],MATCH(A82,Data[Label],0)))*B82,0)</f>
        <v>59956</v>
      </c>
      <c r="F82" s="193">
        <f t="shared" si="8"/>
        <v>4474618</v>
      </c>
      <c r="G82" s="244">
        <f>INDEX(Data[FY2027 Budget Enrollment],MATCH(A82,Data[Label],0))</f>
        <v>440</v>
      </c>
      <c r="H82" s="177">
        <f>'FY2027 RPDC Report'!K82</f>
        <v>3632200</v>
      </c>
      <c r="I82" s="177">
        <f>'FY2027 Categoricals Report'!W82</f>
        <v>861670</v>
      </c>
      <c r="J82" s="177">
        <f>(ROUND(INDEX(Data[FY2026 Media Services],MATCH(A82,Data[Label],0))*(1+$B$6),2)+ROUND(INDEX(Data[FY2026 Ed Services],MATCH(A82,Data[Label],0))*(1+$B$6),2))*G82</f>
        <v>61102.8</v>
      </c>
      <c r="K82" s="177">
        <f t="shared" si="9"/>
        <v>4554972.8</v>
      </c>
      <c r="L82" s="177">
        <f t="shared" si="10"/>
        <v>80354.799999999814</v>
      </c>
      <c r="M82" s="178">
        <f t="shared" si="11"/>
        <v>1.7957912831888623E-2</v>
      </c>
      <c r="N82" s="179">
        <f t="shared" si="6"/>
        <v>-0.39999999999997726</v>
      </c>
      <c r="O82" s="180">
        <f t="shared" si="7"/>
        <v>-9.0826521344227363E-4</v>
      </c>
    </row>
    <row r="83" spans="1:15" x14ac:dyDescent="0.55000000000000004">
      <c r="A83" s="198" t="s">
        <v>76</v>
      </c>
      <c r="B83" s="181">
        <f>INDEX(Data[FY2026 Budget Enrollment],MATCH(A83,Data[Label],0))</f>
        <v>396.1</v>
      </c>
      <c r="C83" s="182">
        <f>INDEX(Data[FY2026 RPDC Total],MATCH(A83,Data[Label],0))+INDEX(Data[FY2026 RPDC Budget Guarantee],MATCH(A83,Data[Label],0))</f>
        <v>3166820</v>
      </c>
      <c r="D83" s="182">
        <f>'FY2027 Categoricals Report'!L83</f>
        <v>668068</v>
      </c>
      <c r="E83" s="182">
        <f>ROUND((INDEX(Data[FY2026 Media Services],MATCH(A83,Data[Label],0))+INDEX(Data[FY2026 Ed Services],MATCH(A83,Data[Label],0)))*B83,0)</f>
        <v>54206</v>
      </c>
      <c r="F83" s="194">
        <f t="shared" si="8"/>
        <v>3889094</v>
      </c>
      <c r="G83" s="243">
        <f>INDEX(Data[FY2027 Budget Enrollment],MATCH(A83,Data[Label],0))</f>
        <v>388</v>
      </c>
      <c r="H83" s="182">
        <f>'FY2027 RPDC Report'!K83</f>
        <v>3198488</v>
      </c>
      <c r="I83" s="182">
        <f>'FY2027 Categoricals Report'!W83</f>
        <v>668434</v>
      </c>
      <c r="J83" s="182">
        <f>(ROUND(INDEX(Data[FY2026 Media Services],MATCH(A83,Data[Label],0))*(1+$B$6),2)+ROUND(INDEX(Data[FY2026 Ed Services],MATCH(A83,Data[Label],0))*(1+$B$6),2))*G83</f>
        <v>54160.92</v>
      </c>
      <c r="K83" s="182">
        <f t="shared" si="9"/>
        <v>3921082.92</v>
      </c>
      <c r="L83" s="182">
        <f t="shared" si="10"/>
        <v>31988.919999999925</v>
      </c>
      <c r="M83" s="178">
        <f t="shared" si="11"/>
        <v>8.2252884605000364E-3</v>
      </c>
      <c r="N83" s="184">
        <f t="shared" si="6"/>
        <v>-8.1000000000000227</v>
      </c>
      <c r="O83" s="185">
        <f t="shared" si="7"/>
        <v>-2.0449381469325983E-2</v>
      </c>
    </row>
    <row r="84" spans="1:15" x14ac:dyDescent="0.55000000000000004">
      <c r="A84" s="197" t="s">
        <v>77</v>
      </c>
      <c r="B84" s="176">
        <f>INDEX(Data[FY2026 Budget Enrollment],MATCH(A84,Data[Label],0))</f>
        <v>8458.1</v>
      </c>
      <c r="C84" s="177">
        <f>INDEX(Data[FY2026 RPDC Total],MATCH(A84,Data[Label],0))+INDEX(Data[FY2026 RPDC Budget Guarantee],MATCH(A84,Data[Label],0))</f>
        <v>68529171</v>
      </c>
      <c r="D84" s="177">
        <f>'FY2027 Categoricals Report'!L84</f>
        <v>11311100</v>
      </c>
      <c r="E84" s="177">
        <f>ROUND((INDEX(Data[FY2026 Media Services],MATCH(A84,Data[Label],0))+INDEX(Data[FY2026 Ed Services],MATCH(A84,Data[Label],0)))*B84,0)</f>
        <v>1157491</v>
      </c>
      <c r="F84" s="193">
        <f t="shared" si="8"/>
        <v>80997762</v>
      </c>
      <c r="G84" s="244">
        <f>INDEX(Data[FY2027 Budget Enrollment],MATCH(A84,Data[Label],0))</f>
        <v>8309.2999999999993</v>
      </c>
      <c r="H84" s="177">
        <f>'FY2027 RPDC Report'!K84</f>
        <v>68486674.099999994</v>
      </c>
      <c r="I84" s="177">
        <f>'FY2027 Categoricals Report'!W84</f>
        <v>11504839</v>
      </c>
      <c r="J84" s="177">
        <f>(ROUND(INDEX(Data[FY2026 Media Services],MATCH(A84,Data[Label],0))*(1+$B$6),2)+ROUND(INDEX(Data[FY2026 Ed Services],MATCH(A84,Data[Label],0))*(1+$B$6),2))*G84</f>
        <v>1159895.1869999999</v>
      </c>
      <c r="K84" s="177">
        <f t="shared" si="9"/>
        <v>81151408.287</v>
      </c>
      <c r="L84" s="177">
        <f t="shared" si="10"/>
        <v>153646.28700000048</v>
      </c>
      <c r="M84" s="178">
        <f t="shared" si="11"/>
        <v>1.8969201519419819E-3</v>
      </c>
      <c r="N84" s="179">
        <f t="shared" si="6"/>
        <v>-148.80000000000109</v>
      </c>
      <c r="O84" s="180">
        <f t="shared" si="7"/>
        <v>-1.7592603539802212E-2</v>
      </c>
    </row>
    <row r="85" spans="1:15" x14ac:dyDescent="0.55000000000000004">
      <c r="A85" s="198" t="s">
        <v>78</v>
      </c>
      <c r="B85" s="181">
        <f>INDEX(Data[FY2026 Budget Enrollment],MATCH(A85,Data[Label],0))</f>
        <v>1330.5</v>
      </c>
      <c r="C85" s="182">
        <f>INDEX(Data[FY2026 RPDC Total],MATCH(A85,Data[Label],0))+INDEX(Data[FY2026 RPDC Budget Guarantee],MATCH(A85,Data[Label],0))</f>
        <v>10824093</v>
      </c>
      <c r="D85" s="182">
        <f>'FY2027 Categoricals Report'!L85</f>
        <v>2021592</v>
      </c>
      <c r="E85" s="182">
        <f>ROUND((INDEX(Data[FY2026 Media Services],MATCH(A85,Data[Label],0))+INDEX(Data[FY2026 Ed Services],MATCH(A85,Data[Label],0)))*B85,0)</f>
        <v>182079</v>
      </c>
      <c r="F85" s="194">
        <f t="shared" si="8"/>
        <v>13027764</v>
      </c>
      <c r="G85" s="243">
        <f>INDEX(Data[FY2027 Budget Enrollment],MATCH(A85,Data[Label],0))</f>
        <v>1285.7</v>
      </c>
      <c r="H85" s="182">
        <f>'FY2027 RPDC Report'!K85</f>
        <v>10734314.6</v>
      </c>
      <c r="I85" s="182">
        <f>'FY2027 Categoricals Report'!W85</f>
        <v>2094550</v>
      </c>
      <c r="J85" s="182">
        <f>(ROUND(INDEX(Data[FY2026 Media Services],MATCH(A85,Data[Label],0))*(1+$B$6),2)+ROUND(INDEX(Data[FY2026 Ed Services],MATCH(A85,Data[Label],0))*(1+$B$6),2))*G85</f>
        <v>179470.86300000001</v>
      </c>
      <c r="K85" s="182">
        <f t="shared" si="9"/>
        <v>13008335.463</v>
      </c>
      <c r="L85" s="182">
        <f t="shared" si="10"/>
        <v>-19428.537000000477</v>
      </c>
      <c r="M85" s="178">
        <f t="shared" si="11"/>
        <v>-1.4913178500931146E-3</v>
      </c>
      <c r="N85" s="184">
        <f t="shared" si="6"/>
        <v>-44.799999999999955</v>
      </c>
      <c r="O85" s="185">
        <f t="shared" si="7"/>
        <v>-3.3671552048102182E-2</v>
      </c>
    </row>
    <row r="86" spans="1:15" x14ac:dyDescent="0.55000000000000004">
      <c r="A86" s="197" t="s">
        <v>79</v>
      </c>
      <c r="B86" s="176">
        <f>INDEX(Data[FY2026 Budget Enrollment],MATCH(A86,Data[Label],0))</f>
        <v>3446.3</v>
      </c>
      <c r="C86" s="177">
        <f>INDEX(Data[FY2026 RPDC Total],MATCH(A86,Data[Label],0))+INDEX(Data[FY2026 RPDC Budget Guarantee],MATCH(A86,Data[Label],0))</f>
        <v>27676766</v>
      </c>
      <c r="D86" s="177">
        <f>'FY2027 Categoricals Report'!L86</f>
        <v>4419959</v>
      </c>
      <c r="E86" s="177">
        <f>ROUND((INDEX(Data[FY2026 Media Services],MATCH(A86,Data[Label],0))+INDEX(Data[FY2026 Ed Services],MATCH(A86,Data[Label],0)))*B86,0)</f>
        <v>469179</v>
      </c>
      <c r="F86" s="193">
        <f t="shared" si="8"/>
        <v>32565904</v>
      </c>
      <c r="G86" s="244">
        <f>INDEX(Data[FY2027 Budget Enrollment],MATCH(A86,Data[Label],0))</f>
        <v>3404.7</v>
      </c>
      <c r="H86" s="177">
        <f>'FY2027 RPDC Report'!K86</f>
        <v>27804334.599999998</v>
      </c>
      <c r="I86" s="177">
        <f>'FY2027 Categoricals Report'!W86</f>
        <v>4554600</v>
      </c>
      <c r="J86" s="177">
        <f>(ROUND(INDEX(Data[FY2026 Media Services],MATCH(A86,Data[Label],0))*(1+$B$6),2)+ROUND(INDEX(Data[FY2026 Ed Services],MATCH(A86,Data[Label],0))*(1+$B$6),2))*G86</f>
        <v>472810.68900000001</v>
      </c>
      <c r="K86" s="177">
        <f t="shared" si="9"/>
        <v>32831745.288999997</v>
      </c>
      <c r="L86" s="177">
        <f t="shared" si="10"/>
        <v>265841.28899999708</v>
      </c>
      <c r="M86" s="178">
        <f t="shared" si="11"/>
        <v>8.1631785501792634E-3</v>
      </c>
      <c r="N86" s="179">
        <f t="shared" si="6"/>
        <v>-41.600000000000364</v>
      </c>
      <c r="O86" s="180">
        <f t="shared" si="7"/>
        <v>-1.2070916635232094E-2</v>
      </c>
    </row>
    <row r="87" spans="1:15" x14ac:dyDescent="0.55000000000000004">
      <c r="A87" s="198" t="s">
        <v>80</v>
      </c>
      <c r="B87" s="181">
        <f>INDEX(Data[FY2026 Budget Enrollment],MATCH(A87,Data[Label],0))</f>
        <v>419.9</v>
      </c>
      <c r="C87" s="182">
        <f>INDEX(Data[FY2026 RPDC Total],MATCH(A87,Data[Label],0))+INDEX(Data[FY2026 RPDC Budget Guarantee],MATCH(A87,Data[Label],0))</f>
        <v>3494474</v>
      </c>
      <c r="D87" s="182">
        <f>'FY2027 Categoricals Report'!L87</f>
        <v>765496</v>
      </c>
      <c r="E87" s="182">
        <f>ROUND((INDEX(Data[FY2026 Media Services],MATCH(A87,Data[Label],0))+INDEX(Data[FY2026 Ed Services],MATCH(A87,Data[Label],0)))*B87,0)</f>
        <v>57270</v>
      </c>
      <c r="F87" s="194">
        <f t="shared" si="8"/>
        <v>4317240</v>
      </c>
      <c r="G87" s="243">
        <f>INDEX(Data[FY2027 Budget Enrollment],MATCH(A87,Data[Label],0))</f>
        <v>419.6</v>
      </c>
      <c r="H87" s="182">
        <f>'FY2027 RPDC Report'!K87</f>
        <v>3418900.8000000003</v>
      </c>
      <c r="I87" s="182">
        <f>'FY2027 Categoricals Report'!W87</f>
        <v>788905</v>
      </c>
      <c r="J87" s="182">
        <f>(ROUND(INDEX(Data[FY2026 Media Services],MATCH(A87,Data[Label],0))*(1+$B$6),2)+ROUND(INDEX(Data[FY2026 Ed Services],MATCH(A87,Data[Label],0))*(1+$B$6),2))*G87</f>
        <v>58374.752000000008</v>
      </c>
      <c r="K87" s="182">
        <f t="shared" si="9"/>
        <v>4266180.5520000001</v>
      </c>
      <c r="L87" s="182">
        <f t="shared" si="10"/>
        <v>-51059.447999999858</v>
      </c>
      <c r="M87" s="178">
        <f t="shared" si="11"/>
        <v>-1.1826872724240454E-2</v>
      </c>
      <c r="N87" s="184">
        <f t="shared" si="6"/>
        <v>-0.29999999999995453</v>
      </c>
      <c r="O87" s="185">
        <f t="shared" si="7"/>
        <v>-7.1445582281484763E-4</v>
      </c>
    </row>
    <row r="88" spans="1:15" x14ac:dyDescent="0.55000000000000004">
      <c r="A88" s="197" t="s">
        <v>81</v>
      </c>
      <c r="B88" s="176">
        <f>INDEX(Data[FY2026 Budget Enrollment],MATCH(A88,Data[Label],0))</f>
        <v>13566.8</v>
      </c>
      <c r="C88" s="177">
        <f>INDEX(Data[FY2026 RPDC Total],MATCH(A88,Data[Label],0))+INDEX(Data[FY2026 RPDC Budget Guarantee],MATCH(A88,Data[Label],0))</f>
        <v>108968919</v>
      </c>
      <c r="D88" s="177">
        <f>'FY2027 Categoricals Report'!L88</f>
        <v>19673489</v>
      </c>
      <c r="E88" s="177">
        <f>ROUND((INDEX(Data[FY2026 Media Services],MATCH(A88,Data[Label],0))+INDEX(Data[FY2026 Ed Services],MATCH(A88,Data[Label],0)))*B88,0)</f>
        <v>1840472</v>
      </c>
      <c r="F88" s="193">
        <f t="shared" si="8"/>
        <v>130482880</v>
      </c>
      <c r="G88" s="244">
        <f>INDEX(Data[FY2027 Budget Enrollment],MATCH(A88,Data[Label],0))</f>
        <v>13370.5</v>
      </c>
      <c r="H88" s="177">
        <f>'FY2027 RPDC Report'!K88</f>
        <v>109455314</v>
      </c>
      <c r="I88" s="177">
        <f>'FY2027 Categoricals Report'!W88</f>
        <v>20559022</v>
      </c>
      <c r="J88" s="177">
        <f>(ROUND(INDEX(Data[FY2026 Media Services],MATCH(A88,Data[Label],0))*(1+$B$6),2)+ROUND(INDEX(Data[FY2026 Ed Services],MATCH(A88,Data[Label],0))*(1+$B$6),2))*G88</f>
        <v>1850209.79</v>
      </c>
      <c r="K88" s="177">
        <f t="shared" si="9"/>
        <v>131864545.78999999</v>
      </c>
      <c r="L88" s="177">
        <f t="shared" si="10"/>
        <v>1381665.7899999917</v>
      </c>
      <c r="M88" s="178">
        <f t="shared" si="11"/>
        <v>1.0588866447460323E-2</v>
      </c>
      <c r="N88" s="179">
        <f t="shared" si="6"/>
        <v>-196.29999999999927</v>
      </c>
      <c r="O88" s="180">
        <f t="shared" si="7"/>
        <v>-1.4469145266385536E-2</v>
      </c>
    </row>
    <row r="89" spans="1:15" x14ac:dyDescent="0.55000000000000004">
      <c r="A89" s="198" t="s">
        <v>82</v>
      </c>
      <c r="B89" s="181">
        <f>INDEX(Data[FY2026 Budget Enrollment],MATCH(A89,Data[Label],0))</f>
        <v>1079.2</v>
      </c>
      <c r="C89" s="182">
        <f>INDEX(Data[FY2026 RPDC Total],MATCH(A89,Data[Label],0))+INDEX(Data[FY2026 RPDC Budget Guarantee],MATCH(A89,Data[Label],0))</f>
        <v>8836172</v>
      </c>
      <c r="D89" s="182">
        <f>'FY2027 Categoricals Report'!L89</f>
        <v>1546369</v>
      </c>
      <c r="E89" s="182">
        <f>ROUND((INDEX(Data[FY2026 Media Services],MATCH(A89,Data[Label],0))+INDEX(Data[FY2026 Ed Services],MATCH(A89,Data[Label],0)))*B89,0)</f>
        <v>147192</v>
      </c>
      <c r="F89" s="194">
        <f t="shared" si="8"/>
        <v>10529733</v>
      </c>
      <c r="G89" s="243">
        <f>INDEX(Data[FY2027 Budget Enrollment],MATCH(A89,Data[Label],0))</f>
        <v>1030.7</v>
      </c>
      <c r="H89" s="182">
        <f>'FY2027 RPDC Report'!K89</f>
        <v>8706856.5999999996</v>
      </c>
      <c r="I89" s="182">
        <f>'FY2027 Categoricals Report'!W89</f>
        <v>1537546</v>
      </c>
      <c r="J89" s="182">
        <f>(ROUND(INDEX(Data[FY2026 Media Services],MATCH(A89,Data[Label],0))*(1+$B$6),2)+ROUND(INDEX(Data[FY2026 Ed Services],MATCH(A89,Data[Label],0))*(1+$B$6),2))*G89</f>
        <v>143390.984</v>
      </c>
      <c r="K89" s="182">
        <f t="shared" si="9"/>
        <v>10387793.583999999</v>
      </c>
      <c r="L89" s="182">
        <f t="shared" si="10"/>
        <v>-141939.41600000113</v>
      </c>
      <c r="M89" s="178">
        <f t="shared" si="11"/>
        <v>-1.3479868482895162E-2</v>
      </c>
      <c r="N89" s="184">
        <f t="shared" si="6"/>
        <v>-48.5</v>
      </c>
      <c r="O89" s="185">
        <f t="shared" si="7"/>
        <v>-4.4940696812453669E-2</v>
      </c>
    </row>
    <row r="90" spans="1:15" x14ac:dyDescent="0.55000000000000004">
      <c r="A90" s="197" t="s">
        <v>83</v>
      </c>
      <c r="B90" s="176">
        <f>INDEX(Data[FY2026 Budget Enrollment],MATCH(A90,Data[Label],0))</f>
        <v>1450.4</v>
      </c>
      <c r="C90" s="177">
        <f>INDEX(Data[FY2026 RPDC Total],MATCH(A90,Data[Label],0))+INDEX(Data[FY2026 RPDC Budget Guarantee],MATCH(A90,Data[Label],0))</f>
        <v>11924367</v>
      </c>
      <c r="D90" s="177">
        <f>'FY2027 Categoricals Report'!L90</f>
        <v>2352229</v>
      </c>
      <c r="E90" s="177">
        <f>ROUND((INDEX(Data[FY2026 Media Services],MATCH(A90,Data[Label],0))+INDEX(Data[FY2026 Ed Services],MATCH(A90,Data[Label],0)))*B90,0)</f>
        <v>200083</v>
      </c>
      <c r="F90" s="193">
        <f t="shared" si="8"/>
        <v>14476679</v>
      </c>
      <c r="G90" s="244">
        <f>INDEX(Data[FY2027 Budget Enrollment],MATCH(A90,Data[Label],0))</f>
        <v>1427.9</v>
      </c>
      <c r="H90" s="177">
        <f>'FY2027 RPDC Report'!K90</f>
        <v>11701653.200000001</v>
      </c>
      <c r="I90" s="177">
        <f>'FY2027 Categoricals Report'!W90</f>
        <v>2446484</v>
      </c>
      <c r="J90" s="177">
        <f>(ROUND(INDEX(Data[FY2026 Media Services],MATCH(A90,Data[Label],0))*(1+$B$6),2)+ROUND(INDEX(Data[FY2026 Ed Services],MATCH(A90,Data[Label],0))*(1+$B$6),2))*G90</f>
        <v>200919.80899999998</v>
      </c>
      <c r="K90" s="177">
        <f t="shared" si="9"/>
        <v>14349057.009000001</v>
      </c>
      <c r="L90" s="177">
        <f t="shared" si="10"/>
        <v>-127621.99099999852</v>
      </c>
      <c r="M90" s="178">
        <f t="shared" si="11"/>
        <v>-8.815695298624672E-3</v>
      </c>
      <c r="N90" s="179">
        <f t="shared" si="6"/>
        <v>-22.5</v>
      </c>
      <c r="O90" s="180">
        <f t="shared" si="7"/>
        <v>-1.5512961941533369E-2</v>
      </c>
    </row>
    <row r="91" spans="1:15" x14ac:dyDescent="0.55000000000000004">
      <c r="A91" s="198" t="s">
        <v>84</v>
      </c>
      <c r="B91" s="181">
        <f>INDEX(Data[FY2026 Budget Enrollment],MATCH(A91,Data[Label],0))</f>
        <v>172</v>
      </c>
      <c r="C91" s="182">
        <f>INDEX(Data[FY2026 RPDC Total],MATCH(A91,Data[Label],0))+INDEX(Data[FY2026 RPDC Budget Guarantee],MATCH(A91,Data[Label],0))</f>
        <v>1472356</v>
      </c>
      <c r="D91" s="182">
        <f>'FY2027 Categoricals Report'!L91</f>
        <v>364132</v>
      </c>
      <c r="E91" s="182">
        <f>ROUND((INDEX(Data[FY2026 Media Services],MATCH(A91,Data[Label],0))+INDEX(Data[FY2026 Ed Services],MATCH(A91,Data[Label],0)))*B91,0)</f>
        <v>23334</v>
      </c>
      <c r="F91" s="194">
        <f t="shared" si="8"/>
        <v>1859822</v>
      </c>
      <c r="G91" s="243">
        <f>INDEX(Data[FY2027 Budget Enrollment],MATCH(A91,Data[Label],0))</f>
        <v>172</v>
      </c>
      <c r="H91" s="182">
        <f>'FY2027 RPDC Report'!K91</f>
        <v>1424676</v>
      </c>
      <c r="I91" s="182">
        <f>'FY2027 Categoricals Report'!W91</f>
        <v>364612</v>
      </c>
      <c r="J91" s="182">
        <f>(ROUND(INDEX(Data[FY2026 Media Services],MATCH(A91,Data[Label],0))*(1+$B$6),2)+ROUND(INDEX(Data[FY2026 Ed Services],MATCH(A91,Data[Label],0))*(1+$B$6),2))*G91</f>
        <v>23801.360000000001</v>
      </c>
      <c r="K91" s="182">
        <f t="shared" si="9"/>
        <v>1813089.3599999999</v>
      </c>
      <c r="L91" s="182">
        <f t="shared" si="10"/>
        <v>-46732.64000000013</v>
      </c>
      <c r="M91" s="178">
        <f t="shared" si="11"/>
        <v>-2.5127479941628894E-2</v>
      </c>
      <c r="N91" s="184">
        <f t="shared" si="6"/>
        <v>0</v>
      </c>
      <c r="O91" s="185">
        <f t="shared" si="7"/>
        <v>0</v>
      </c>
    </row>
    <row r="92" spans="1:15" x14ac:dyDescent="0.55000000000000004">
      <c r="A92" s="197" t="s">
        <v>85</v>
      </c>
      <c r="B92" s="176">
        <f>INDEX(Data[FY2026 Budget Enrollment],MATCH(A92,Data[Label],0))</f>
        <v>1977</v>
      </c>
      <c r="C92" s="177">
        <f>INDEX(Data[FY2026 RPDC Total],MATCH(A92,Data[Label],0))+INDEX(Data[FY2026 RPDC Budget Guarantee],MATCH(A92,Data[Label],0))</f>
        <v>15792276</v>
      </c>
      <c r="D92" s="177">
        <f>'FY2027 Categoricals Report'!L92</f>
        <v>2772232</v>
      </c>
      <c r="E92" s="177">
        <f>ROUND((INDEX(Data[FY2026 Media Services],MATCH(A92,Data[Label],0))+INDEX(Data[FY2026 Ed Services],MATCH(A92,Data[Label],0)))*B92,0)</f>
        <v>273478</v>
      </c>
      <c r="F92" s="193">
        <f t="shared" si="8"/>
        <v>18837986</v>
      </c>
      <c r="G92" s="244">
        <f>INDEX(Data[FY2027 Budget Enrollment],MATCH(A92,Data[Label],0))</f>
        <v>1946.4</v>
      </c>
      <c r="H92" s="177">
        <f>'FY2027 RPDC Report'!K92</f>
        <v>15950199.200000001</v>
      </c>
      <c r="I92" s="177">
        <f>'FY2027 Categoricals Report'!W92</f>
        <v>2792713</v>
      </c>
      <c r="J92" s="177">
        <f>(ROUND(INDEX(Data[FY2026 Media Services],MATCH(A92,Data[Label],0))*(1+$B$6),2)+ROUND(INDEX(Data[FY2026 Ed Services],MATCH(A92,Data[Label],0))*(1+$B$6),2))*G92</f>
        <v>274637.03999999998</v>
      </c>
      <c r="K92" s="177">
        <f t="shared" si="9"/>
        <v>19017549.240000002</v>
      </c>
      <c r="L92" s="177">
        <f t="shared" si="10"/>
        <v>179563.24000000209</v>
      </c>
      <c r="M92" s="178">
        <f t="shared" si="11"/>
        <v>9.5319765074675222E-3</v>
      </c>
      <c r="N92" s="179">
        <f t="shared" si="6"/>
        <v>-30.599999999999909</v>
      </c>
      <c r="O92" s="180">
        <f t="shared" si="7"/>
        <v>-1.5477996965098589E-2</v>
      </c>
    </row>
    <row r="93" spans="1:15" x14ac:dyDescent="0.55000000000000004">
      <c r="A93" s="198" t="s">
        <v>86</v>
      </c>
      <c r="B93" s="181">
        <f>INDEX(Data[FY2026 Budget Enrollment],MATCH(A93,Data[Label],0))</f>
        <v>872.2</v>
      </c>
      <c r="C93" s="182">
        <f>INDEX(Data[FY2026 RPDC Total],MATCH(A93,Data[Label],0))+INDEX(Data[FY2026 RPDC Budget Guarantee],MATCH(A93,Data[Label],0))</f>
        <v>6967134</v>
      </c>
      <c r="D93" s="182">
        <f>'FY2027 Categoricals Report'!L93</f>
        <v>1267323</v>
      </c>
      <c r="E93" s="182">
        <f>ROUND((INDEX(Data[FY2026 Media Services],MATCH(A93,Data[Label],0))+INDEX(Data[FY2026 Ed Services],MATCH(A93,Data[Label],0)))*B93,0)</f>
        <v>120425</v>
      </c>
      <c r="F93" s="194">
        <f t="shared" si="8"/>
        <v>8354882</v>
      </c>
      <c r="G93" s="243">
        <f>INDEX(Data[FY2027 Budget Enrollment],MATCH(A93,Data[Label],0))</f>
        <v>866.6</v>
      </c>
      <c r="H93" s="182">
        <f>'FY2027 RPDC Report'!K93</f>
        <v>7061056.7999999998</v>
      </c>
      <c r="I93" s="182">
        <f>'FY2027 Categoricals Report'!W93</f>
        <v>1279310</v>
      </c>
      <c r="J93" s="182">
        <f>(ROUND(INDEX(Data[FY2026 Media Services],MATCH(A93,Data[Label],0))*(1+$B$6),2)+ROUND(INDEX(Data[FY2026 Ed Services],MATCH(A93,Data[Label],0))*(1+$B$6),2))*G93</f>
        <v>122051.94399999999</v>
      </c>
      <c r="K93" s="182">
        <f t="shared" si="9"/>
        <v>8462418.743999999</v>
      </c>
      <c r="L93" s="182">
        <f t="shared" si="10"/>
        <v>107536.74399999902</v>
      </c>
      <c r="M93" s="178">
        <f t="shared" si="11"/>
        <v>1.2871126605977083E-2</v>
      </c>
      <c r="N93" s="184">
        <f t="shared" si="6"/>
        <v>-5.6000000000000227</v>
      </c>
      <c r="O93" s="185">
        <f t="shared" si="7"/>
        <v>-6.420545746388469E-3</v>
      </c>
    </row>
    <row r="94" spans="1:15" x14ac:dyDescent="0.55000000000000004">
      <c r="A94" s="197" t="s">
        <v>87</v>
      </c>
      <c r="B94" s="176">
        <f>INDEX(Data[FY2026 Budget Enrollment],MATCH(A94,Data[Label],0))</f>
        <v>30836.3</v>
      </c>
      <c r="C94" s="177">
        <f>INDEX(Data[FY2026 RPDC Total],MATCH(A94,Data[Label],0))+INDEX(Data[FY2026 RPDC Budget Guarantee],MATCH(A94,Data[Label],0))</f>
        <v>247183781</v>
      </c>
      <c r="D94" s="177">
        <f>'FY2027 Categoricals Report'!L94</f>
        <v>42687216</v>
      </c>
      <c r="E94" s="177">
        <f>ROUND((INDEX(Data[FY2026 Media Services],MATCH(A94,Data[Label],0))+INDEX(Data[FY2026 Ed Services],MATCH(A94,Data[Label],0)))*B94,0)</f>
        <v>4198054</v>
      </c>
      <c r="F94" s="193">
        <f t="shared" si="8"/>
        <v>294069051</v>
      </c>
      <c r="G94" s="244">
        <f>INDEX(Data[FY2027 Budget Enrollment],MATCH(A94,Data[Label],0))</f>
        <v>30159.7</v>
      </c>
      <c r="H94" s="177">
        <f>'FY2027 RPDC Report'!K94</f>
        <v>249655619.20000002</v>
      </c>
      <c r="I94" s="177">
        <f>'FY2027 Categoricals Report'!W94</f>
        <v>43768447</v>
      </c>
      <c r="J94" s="177">
        <f>(ROUND(INDEX(Data[FY2026 Media Services],MATCH(A94,Data[Label],0))*(1+$B$6),2)+ROUND(INDEX(Data[FY2026 Ed Services],MATCH(A94,Data[Label],0))*(1+$B$6),2))*G94</f>
        <v>4188277.5390000003</v>
      </c>
      <c r="K94" s="177">
        <f t="shared" si="9"/>
        <v>297612343.73900002</v>
      </c>
      <c r="L94" s="177">
        <f t="shared" si="10"/>
        <v>3543292.7390000224</v>
      </c>
      <c r="M94" s="178">
        <f t="shared" si="11"/>
        <v>1.2049186158661839E-2</v>
      </c>
      <c r="N94" s="179">
        <f t="shared" si="6"/>
        <v>-676.59999999999854</v>
      </c>
      <c r="O94" s="180">
        <f t="shared" si="7"/>
        <v>-2.1941672639064953E-2</v>
      </c>
    </row>
    <row r="95" spans="1:15" x14ac:dyDescent="0.55000000000000004">
      <c r="A95" s="198" t="s">
        <v>88</v>
      </c>
      <c r="B95" s="181">
        <f>INDEX(Data[FY2026 Budget Enrollment],MATCH(A95,Data[Label],0))</f>
        <v>90</v>
      </c>
      <c r="C95" s="182">
        <f>INDEX(Data[FY2026 RPDC Total],MATCH(A95,Data[Label],0))+INDEX(Data[FY2026 RPDC Budget Guarantee],MATCH(A95,Data[Label],0))</f>
        <v>718920</v>
      </c>
      <c r="D95" s="182">
        <f>'FY2027 Categoricals Report'!L95</f>
        <v>357158</v>
      </c>
      <c r="E95" s="182">
        <f>ROUND((INDEX(Data[FY2026 Media Services],MATCH(A95,Data[Label],0))+INDEX(Data[FY2026 Ed Services],MATCH(A95,Data[Label],0)))*B95,0)</f>
        <v>12317</v>
      </c>
      <c r="F95" s="194">
        <f t="shared" si="8"/>
        <v>1088395</v>
      </c>
      <c r="G95" s="243">
        <f>INDEX(Data[FY2027 Budget Enrollment],MATCH(A95,Data[Label],0))</f>
        <v>97</v>
      </c>
      <c r="H95" s="182">
        <f>'FY2027 RPDC Report'!K95</f>
        <v>790356</v>
      </c>
      <c r="I95" s="182">
        <f>'FY2027 Categoricals Report'!W95</f>
        <v>387327</v>
      </c>
      <c r="J95" s="182">
        <f>(ROUND(INDEX(Data[FY2026 Media Services],MATCH(A95,Data[Label],0))*(1+$B$6),2)+ROUND(INDEX(Data[FY2026 Ed Services],MATCH(A95,Data[Label],0))*(1+$B$6),2))*G95</f>
        <v>13540.23</v>
      </c>
      <c r="K95" s="182">
        <f t="shared" si="9"/>
        <v>1191223.23</v>
      </c>
      <c r="L95" s="182">
        <f t="shared" si="10"/>
        <v>102828.22999999998</v>
      </c>
      <c r="M95" s="178">
        <f t="shared" si="11"/>
        <v>9.44769408165234E-2</v>
      </c>
      <c r="N95" s="184">
        <f t="shared" si="6"/>
        <v>7</v>
      </c>
      <c r="O95" s="185">
        <f t="shared" si="7"/>
        <v>7.7777777777777779E-2</v>
      </c>
    </row>
    <row r="96" spans="1:15" x14ac:dyDescent="0.55000000000000004">
      <c r="A96" s="197" t="s">
        <v>89</v>
      </c>
      <c r="B96" s="176">
        <f>INDEX(Data[FY2026 Budget Enrollment],MATCH(A96,Data[Label],0))</f>
        <v>851.6</v>
      </c>
      <c r="C96" s="177">
        <f>INDEX(Data[FY2026 RPDC Total],MATCH(A96,Data[Label],0))+INDEX(Data[FY2026 RPDC Budget Guarantee],MATCH(A96,Data[Label],0))</f>
        <v>6896467</v>
      </c>
      <c r="D96" s="177">
        <f>'FY2027 Categoricals Report'!L96</f>
        <v>1322110</v>
      </c>
      <c r="E96" s="177">
        <f>ROUND((INDEX(Data[FY2026 Media Services],MATCH(A96,Data[Label],0))+INDEX(Data[FY2026 Ed Services],MATCH(A96,Data[Label],0)))*B96,0)</f>
        <v>117580</v>
      </c>
      <c r="F96" s="193">
        <f t="shared" si="8"/>
        <v>8336157</v>
      </c>
      <c r="G96" s="244">
        <f>INDEX(Data[FY2027 Budget Enrollment],MATCH(A96,Data[Label],0))</f>
        <v>832.1</v>
      </c>
      <c r="H96" s="177">
        <f>'FY2027 RPDC Report'!K96</f>
        <v>6870606.7999999998</v>
      </c>
      <c r="I96" s="177">
        <f>'FY2027 Categoricals Report'!W96</f>
        <v>1327166</v>
      </c>
      <c r="J96" s="177">
        <f>(ROUND(INDEX(Data[FY2026 Media Services],MATCH(A96,Data[Label],0))*(1+$B$6),2)+ROUND(INDEX(Data[FY2026 Ed Services],MATCH(A96,Data[Label],0))*(1+$B$6),2))*G96</f>
        <v>117192.96399999998</v>
      </c>
      <c r="K96" s="177">
        <f t="shared" si="9"/>
        <v>8314965.7639999995</v>
      </c>
      <c r="L96" s="177">
        <f t="shared" si="10"/>
        <v>-21191.236000000499</v>
      </c>
      <c r="M96" s="178">
        <f t="shared" si="11"/>
        <v>-2.5420869592547861E-3</v>
      </c>
      <c r="N96" s="179">
        <f t="shared" si="6"/>
        <v>-19.5</v>
      </c>
      <c r="O96" s="180">
        <f t="shared" si="7"/>
        <v>-2.2898074213245655E-2</v>
      </c>
    </row>
    <row r="97" spans="1:15" x14ac:dyDescent="0.55000000000000004">
      <c r="A97" s="198" t="s">
        <v>90</v>
      </c>
      <c r="B97" s="181">
        <f>INDEX(Data[FY2026 Budget Enrollment],MATCH(A97,Data[Label],0))</f>
        <v>9862.9</v>
      </c>
      <c r="C97" s="182">
        <f>INDEX(Data[FY2026 RPDC Total],MATCH(A97,Data[Label],0))+INDEX(Data[FY2026 RPDC Budget Guarantee],MATCH(A97,Data[Label],0))</f>
        <v>79010983</v>
      </c>
      <c r="D97" s="182">
        <f>'FY2027 Categoricals Report'!L97</f>
        <v>16055030</v>
      </c>
      <c r="E97" s="182">
        <f>ROUND((INDEX(Data[FY2026 Media Services],MATCH(A97,Data[Label],0))+INDEX(Data[FY2026 Ed Services],MATCH(A97,Data[Label],0)))*B97,0)</f>
        <v>1360587</v>
      </c>
      <c r="F97" s="194">
        <f t="shared" si="8"/>
        <v>96426600</v>
      </c>
      <c r="G97" s="243">
        <f>INDEX(Data[FY2027 Budget Enrollment],MATCH(A97,Data[Label],0))</f>
        <v>9665.7000000000007</v>
      </c>
      <c r="H97" s="182">
        <f>'FY2027 RPDC Report'!K97</f>
        <v>79572693.600000009</v>
      </c>
      <c r="I97" s="182">
        <f>'FY2027 Categoricals Report'!W97</f>
        <v>17095519</v>
      </c>
      <c r="J97" s="182">
        <f>(ROUND(INDEX(Data[FY2026 Media Services],MATCH(A97,Data[Label],0))*(1+$B$6),2)+ROUND(INDEX(Data[FY2026 Ed Services],MATCH(A97,Data[Label],0))*(1+$B$6),2))*G97</f>
        <v>1360060.6469999999</v>
      </c>
      <c r="K97" s="182">
        <f t="shared" si="9"/>
        <v>98028273.247000009</v>
      </c>
      <c r="L97" s="182">
        <f t="shared" si="10"/>
        <v>1601673.2470000088</v>
      </c>
      <c r="M97" s="178">
        <f t="shared" si="11"/>
        <v>1.661028437173984E-2</v>
      </c>
      <c r="N97" s="184">
        <f t="shared" si="6"/>
        <v>-197.19999999999891</v>
      </c>
      <c r="O97" s="185">
        <f t="shared" si="7"/>
        <v>-1.9994119376653817E-2</v>
      </c>
    </row>
    <row r="98" spans="1:15" x14ac:dyDescent="0.55000000000000004">
      <c r="A98" s="197" t="s">
        <v>91</v>
      </c>
      <c r="B98" s="176">
        <f>INDEX(Data[FY2026 Budget Enrollment],MATCH(A98,Data[Label],0))</f>
        <v>344.5</v>
      </c>
      <c r="C98" s="177">
        <f>INDEX(Data[FY2026 RPDC Total],MATCH(A98,Data[Label],0))+INDEX(Data[FY2026 RPDC Budget Guarantee],MATCH(A98,Data[Label],0))</f>
        <v>2840791</v>
      </c>
      <c r="D98" s="177">
        <f>'FY2027 Categoricals Report'!L98</f>
        <v>699735</v>
      </c>
      <c r="E98" s="177">
        <f>ROUND((INDEX(Data[FY2026 Media Services],MATCH(A98,Data[Label],0))+INDEX(Data[FY2026 Ed Services],MATCH(A98,Data[Label],0)))*B98,0)</f>
        <v>47565</v>
      </c>
      <c r="F98" s="193">
        <f t="shared" si="8"/>
        <v>3588091</v>
      </c>
      <c r="G98" s="244">
        <f>INDEX(Data[FY2027 Budget Enrollment],MATCH(A98,Data[Label],0))</f>
        <v>331.4</v>
      </c>
      <c r="H98" s="177">
        <f>'FY2027 RPDC Report'!K98</f>
        <v>2779384.1999999997</v>
      </c>
      <c r="I98" s="177">
        <f>'FY2027 Categoricals Report'!W98</f>
        <v>699364</v>
      </c>
      <c r="J98" s="177">
        <f>(ROUND(INDEX(Data[FY2026 Media Services],MATCH(A98,Data[Label],0))*(1+$B$6),2)+ROUND(INDEX(Data[FY2026 Ed Services],MATCH(A98,Data[Label],0))*(1+$B$6),2))*G98</f>
        <v>46674.375999999989</v>
      </c>
      <c r="K98" s="177">
        <f t="shared" si="9"/>
        <v>3525422.5759999994</v>
      </c>
      <c r="L98" s="177">
        <f t="shared" si="10"/>
        <v>-62668.424000000581</v>
      </c>
      <c r="M98" s="178">
        <f t="shared" si="11"/>
        <v>-1.7465672972062463E-2</v>
      </c>
      <c r="N98" s="179">
        <f t="shared" si="6"/>
        <v>-13.100000000000023</v>
      </c>
      <c r="O98" s="180">
        <f t="shared" si="7"/>
        <v>-3.8026124818577714E-2</v>
      </c>
    </row>
    <row r="99" spans="1:15" x14ac:dyDescent="0.55000000000000004">
      <c r="A99" s="198" t="s">
        <v>92</v>
      </c>
      <c r="B99" s="181">
        <f>INDEX(Data[FY2026 Budget Enrollment],MATCH(A99,Data[Label],0))</f>
        <v>470.7</v>
      </c>
      <c r="C99" s="182">
        <f>INDEX(Data[FY2026 RPDC Total],MATCH(A99,Data[Label],0))+INDEX(Data[FY2026 RPDC Budget Guarantee],MATCH(A99,Data[Label],0))</f>
        <v>3880906</v>
      </c>
      <c r="D99" s="182">
        <f>'FY2027 Categoricals Report'!L99</f>
        <v>756643</v>
      </c>
      <c r="E99" s="182">
        <f>ROUND((INDEX(Data[FY2026 Media Services],MATCH(A99,Data[Label],0))+INDEX(Data[FY2026 Ed Services],MATCH(A99,Data[Label],0)))*B99,0)</f>
        <v>63855</v>
      </c>
      <c r="F99" s="194">
        <f t="shared" si="8"/>
        <v>4701404</v>
      </c>
      <c r="G99" s="243">
        <f>INDEX(Data[FY2027 Budget Enrollment],MATCH(A99,Data[Label],0))</f>
        <v>443.7</v>
      </c>
      <c r="H99" s="182">
        <f>'FY2027 RPDC Report'!K99</f>
        <v>3800403.8</v>
      </c>
      <c r="I99" s="182">
        <f>'FY2027 Categoricals Report'!W99</f>
        <v>751165</v>
      </c>
      <c r="J99" s="182">
        <f>(ROUND(INDEX(Data[FY2026 Media Services],MATCH(A99,Data[Label],0))*(1+$B$6),2)+ROUND(INDEX(Data[FY2026 Ed Services],MATCH(A99,Data[Label],0))*(1+$B$6),2))*G99</f>
        <v>61399.205999999998</v>
      </c>
      <c r="K99" s="182">
        <f t="shared" si="9"/>
        <v>4612968.0060000001</v>
      </c>
      <c r="L99" s="182">
        <f t="shared" si="10"/>
        <v>-88435.993999999948</v>
      </c>
      <c r="M99" s="178">
        <f t="shared" si="11"/>
        <v>-1.8810549784702601E-2</v>
      </c>
      <c r="N99" s="184">
        <f t="shared" si="6"/>
        <v>-27</v>
      </c>
      <c r="O99" s="185">
        <f t="shared" si="7"/>
        <v>-5.7361376673040157E-2</v>
      </c>
    </row>
    <row r="100" spans="1:15" x14ac:dyDescent="0.55000000000000004">
      <c r="A100" s="197" t="s">
        <v>93</v>
      </c>
      <c r="B100" s="176">
        <f>INDEX(Data[FY2026 Budget Enrollment],MATCH(A100,Data[Label],0))</f>
        <v>975.1</v>
      </c>
      <c r="C100" s="177">
        <f>INDEX(Data[FY2026 RPDC Total],MATCH(A100,Data[Label],0))+INDEX(Data[FY2026 RPDC Budget Guarantee],MATCH(A100,Data[Label],0))</f>
        <v>7865157</v>
      </c>
      <c r="D100" s="177">
        <f>'FY2027 Categoricals Report'!L100</f>
        <v>1659584</v>
      </c>
      <c r="E100" s="177">
        <f>ROUND((INDEX(Data[FY2026 Media Services],MATCH(A100,Data[Label],0))+INDEX(Data[FY2026 Ed Services],MATCH(A100,Data[Label],0)))*B100,0)</f>
        <v>135051</v>
      </c>
      <c r="F100" s="193">
        <f t="shared" si="8"/>
        <v>9659792</v>
      </c>
      <c r="G100" s="244">
        <f>INDEX(Data[FY2027 Budget Enrollment],MATCH(A100,Data[Label],0))</f>
        <v>913.7</v>
      </c>
      <c r="H100" s="177">
        <f>'FY2027 RPDC Report'!K100</f>
        <v>7943808.2000000002</v>
      </c>
      <c r="I100" s="177">
        <f>'FY2027 Categoricals Report'!W100</f>
        <v>1659584</v>
      </c>
      <c r="J100" s="177">
        <f>(ROUND(INDEX(Data[FY2026 Media Services],MATCH(A100,Data[Label],0))*(1+$B$6),2)+ROUND(INDEX(Data[FY2026 Ed Services],MATCH(A100,Data[Label],0))*(1+$B$6),2))*G100</f>
        <v>129078.39900000002</v>
      </c>
      <c r="K100" s="177">
        <f t="shared" si="9"/>
        <v>9732470.5989999995</v>
      </c>
      <c r="L100" s="177">
        <f t="shared" si="10"/>
        <v>72678.598999999464</v>
      </c>
      <c r="M100" s="178">
        <f t="shared" si="11"/>
        <v>7.5238264964710899E-3</v>
      </c>
      <c r="N100" s="179">
        <f t="shared" si="6"/>
        <v>-61.399999999999977</v>
      </c>
      <c r="O100" s="180">
        <f t="shared" si="7"/>
        <v>-6.2967900728130424E-2</v>
      </c>
    </row>
    <row r="101" spans="1:15" x14ac:dyDescent="0.55000000000000004">
      <c r="A101" s="198" t="s">
        <v>94</v>
      </c>
      <c r="B101" s="181">
        <f>INDEX(Data[FY2026 Budget Enrollment],MATCH(A101,Data[Label],0))</f>
        <v>573.79999999999995</v>
      </c>
      <c r="C101" s="182">
        <f>INDEX(Data[FY2026 RPDC Total],MATCH(A101,Data[Label],0))+INDEX(Data[FY2026 RPDC Budget Guarantee],MATCH(A101,Data[Label],0))</f>
        <v>4583514</v>
      </c>
      <c r="D101" s="182">
        <f>'FY2027 Categoricals Report'!L101</f>
        <v>1163760</v>
      </c>
      <c r="E101" s="182">
        <f>ROUND((INDEX(Data[FY2026 Media Services],MATCH(A101,Data[Label],0))+INDEX(Data[FY2026 Ed Services],MATCH(A101,Data[Label],0)))*B101,0)</f>
        <v>78117</v>
      </c>
      <c r="F101" s="194">
        <f t="shared" si="8"/>
        <v>5825391</v>
      </c>
      <c r="G101" s="243">
        <f>INDEX(Data[FY2027 Budget Enrollment],MATCH(A101,Data[Label],0))</f>
        <v>573.4</v>
      </c>
      <c r="H101" s="182">
        <f>'FY2027 RPDC Report'!K101</f>
        <v>4672063.2</v>
      </c>
      <c r="I101" s="182">
        <f>'FY2027 Categoricals Report'!W101</f>
        <v>1191450</v>
      </c>
      <c r="J101" s="182">
        <f>(ROUND(INDEX(Data[FY2026 Media Services],MATCH(A101,Data[Label],0))*(1+$B$6),2)+ROUND(INDEX(Data[FY2026 Ed Services],MATCH(A101,Data[Label],0))*(1+$B$6),2))*G101</f>
        <v>79628.058000000005</v>
      </c>
      <c r="K101" s="182">
        <f t="shared" si="9"/>
        <v>5943141.2580000004</v>
      </c>
      <c r="L101" s="182">
        <f t="shared" si="10"/>
        <v>117750.25800000038</v>
      </c>
      <c r="M101" s="178">
        <f t="shared" si="11"/>
        <v>2.0213279760963751E-2</v>
      </c>
      <c r="N101" s="184">
        <f t="shared" si="6"/>
        <v>-0.39999999999997726</v>
      </c>
      <c r="O101" s="185">
        <f t="shared" si="7"/>
        <v>-6.9710700592536998E-4</v>
      </c>
    </row>
    <row r="102" spans="1:15" x14ac:dyDescent="0.55000000000000004">
      <c r="A102" s="197" t="s">
        <v>95</v>
      </c>
      <c r="B102" s="176">
        <f>INDEX(Data[FY2026 Budget Enrollment],MATCH(A102,Data[Label],0))</f>
        <v>509.2</v>
      </c>
      <c r="C102" s="177">
        <f>INDEX(Data[FY2026 RPDC Total],MATCH(A102,Data[Label],0))+INDEX(Data[FY2026 RPDC Budget Guarantee],MATCH(A102,Data[Label],0))</f>
        <v>4224827</v>
      </c>
      <c r="D102" s="177">
        <f>'FY2027 Categoricals Report'!L102</f>
        <v>828823</v>
      </c>
      <c r="E102" s="177">
        <f>ROUND((INDEX(Data[FY2026 Media Services],MATCH(A102,Data[Label],0))+INDEX(Data[FY2026 Ed Services],MATCH(A102,Data[Label],0)))*B102,0)</f>
        <v>70305</v>
      </c>
      <c r="F102" s="193">
        <f t="shared" si="8"/>
        <v>5123955</v>
      </c>
      <c r="G102" s="244">
        <f>INDEX(Data[FY2027 Budget Enrollment],MATCH(A102,Data[Label],0))</f>
        <v>484.9</v>
      </c>
      <c r="H102" s="177">
        <f>'FY2027 RPDC Report'!K102</f>
        <v>4108165.1999999997</v>
      </c>
      <c r="I102" s="177">
        <f>'FY2027 Categoricals Report'!W102</f>
        <v>823039</v>
      </c>
      <c r="J102" s="177">
        <f>(ROUND(INDEX(Data[FY2026 Media Services],MATCH(A102,Data[Label],0))*(1+$B$6),2)+ROUND(INDEX(Data[FY2026 Ed Services],MATCH(A102,Data[Label],0))*(1+$B$6),2))*G102</f>
        <v>68293.315999999992</v>
      </c>
      <c r="K102" s="177">
        <f t="shared" si="9"/>
        <v>4999497.5159999998</v>
      </c>
      <c r="L102" s="177">
        <f t="shared" si="10"/>
        <v>-124457.48400000017</v>
      </c>
      <c r="M102" s="178">
        <f t="shared" si="11"/>
        <v>-2.4289339777574193E-2</v>
      </c>
      <c r="N102" s="179">
        <f t="shared" si="6"/>
        <v>-24.300000000000011</v>
      </c>
      <c r="O102" s="180">
        <f t="shared" si="7"/>
        <v>-4.7721916732128854E-2</v>
      </c>
    </row>
    <row r="103" spans="1:15" x14ac:dyDescent="0.55000000000000004">
      <c r="A103" s="198" t="s">
        <v>96</v>
      </c>
      <c r="B103" s="181">
        <f>INDEX(Data[FY2026 Budget Enrollment],MATCH(A103,Data[Label],0))</f>
        <v>489.2</v>
      </c>
      <c r="C103" s="182">
        <f>INDEX(Data[FY2026 RPDC Total],MATCH(A103,Data[Label],0))+INDEX(Data[FY2026 RPDC Budget Guarantee],MATCH(A103,Data[Label],0))</f>
        <v>4068344</v>
      </c>
      <c r="D103" s="182">
        <f>'FY2027 Categoricals Report'!L103</f>
        <v>992093</v>
      </c>
      <c r="E103" s="182">
        <f>ROUND((INDEX(Data[FY2026 Media Services],MATCH(A103,Data[Label],0))+INDEX(Data[FY2026 Ed Services],MATCH(A103,Data[Label],0)))*B103,0)</f>
        <v>67544</v>
      </c>
      <c r="F103" s="194">
        <f t="shared" si="8"/>
        <v>5127981</v>
      </c>
      <c r="G103" s="243">
        <f>INDEX(Data[FY2027 Budget Enrollment],MATCH(A103,Data[Label],0))</f>
        <v>486.2</v>
      </c>
      <c r="H103" s="182">
        <f>'FY2027 RPDC Report'!K103</f>
        <v>3982950.3999999999</v>
      </c>
      <c r="I103" s="182">
        <f>'FY2027 Categoricals Report'!W103</f>
        <v>1003004</v>
      </c>
      <c r="J103" s="182">
        <f>(ROUND(INDEX(Data[FY2026 Media Services],MATCH(A103,Data[Label],0))*(1+$B$6),2)+ROUND(INDEX(Data[FY2026 Ed Services],MATCH(A103,Data[Label],0))*(1+$B$6),2))*G103</f>
        <v>68476.407999999981</v>
      </c>
      <c r="K103" s="182">
        <f t="shared" si="9"/>
        <v>5054430.8080000002</v>
      </c>
      <c r="L103" s="182">
        <f t="shared" si="10"/>
        <v>-73550.191999999806</v>
      </c>
      <c r="M103" s="178">
        <f t="shared" si="11"/>
        <v>-1.4342914297069315E-2</v>
      </c>
      <c r="N103" s="184">
        <f t="shared" si="6"/>
        <v>-3</v>
      </c>
      <c r="O103" s="185">
        <f t="shared" si="7"/>
        <v>-6.1324611610793136E-3</v>
      </c>
    </row>
    <row r="104" spans="1:15" x14ac:dyDescent="0.55000000000000004">
      <c r="A104" s="197" t="s">
        <v>97</v>
      </c>
      <c r="B104" s="176">
        <f>INDEX(Data[FY2026 Budget Enrollment],MATCH(A104,Data[Label],0))</f>
        <v>550</v>
      </c>
      <c r="C104" s="177">
        <f>INDEX(Data[FY2026 RPDC Total],MATCH(A104,Data[Label],0))+INDEX(Data[FY2026 RPDC Budget Guarantee],MATCH(A104,Data[Label],0))</f>
        <v>4406600</v>
      </c>
      <c r="D104" s="177">
        <f>'FY2027 Categoricals Report'!L104</f>
        <v>970137</v>
      </c>
      <c r="E104" s="177">
        <f>ROUND((INDEX(Data[FY2026 Media Services],MATCH(A104,Data[Label],0))+INDEX(Data[FY2026 Ed Services],MATCH(A104,Data[Label],0)))*B104,0)</f>
        <v>75268</v>
      </c>
      <c r="F104" s="193">
        <f t="shared" si="8"/>
        <v>5452005</v>
      </c>
      <c r="G104" s="244">
        <f>INDEX(Data[FY2027 Budget Enrollment],MATCH(A104,Data[Label],0))</f>
        <v>527</v>
      </c>
      <c r="H104" s="177">
        <f>'FY2027 RPDC Report'!K104</f>
        <v>4450666</v>
      </c>
      <c r="I104" s="177">
        <f>'FY2027 Categoricals Report'!W104</f>
        <v>970137</v>
      </c>
      <c r="J104" s="177">
        <f>(ROUND(INDEX(Data[FY2026 Media Services],MATCH(A104,Data[Label],0))*(1+$B$6),2)+ROUND(INDEX(Data[FY2026 Ed Services],MATCH(A104,Data[Label],0))*(1+$B$6),2))*G104</f>
        <v>73563.930000000008</v>
      </c>
      <c r="K104" s="177">
        <f t="shared" si="9"/>
        <v>5494366.9299999997</v>
      </c>
      <c r="L104" s="177">
        <f t="shared" si="10"/>
        <v>42361.929999999702</v>
      </c>
      <c r="M104" s="178">
        <f t="shared" si="11"/>
        <v>7.7699726981174267E-3</v>
      </c>
      <c r="N104" s="179">
        <f t="shared" si="6"/>
        <v>-23</v>
      </c>
      <c r="O104" s="180">
        <f t="shared" si="7"/>
        <v>-4.1818181818181817E-2</v>
      </c>
    </row>
    <row r="105" spans="1:15" x14ac:dyDescent="0.55000000000000004">
      <c r="A105" s="198" t="s">
        <v>98</v>
      </c>
      <c r="B105" s="181">
        <f>INDEX(Data[FY2026 Budget Enrollment],MATCH(A105,Data[Label],0))</f>
        <v>807</v>
      </c>
      <c r="C105" s="182">
        <f>INDEX(Data[FY2026 RPDC Total],MATCH(A105,Data[Label],0))+INDEX(Data[FY2026 RPDC Budget Guarantee],MATCH(A105,Data[Label],0))</f>
        <v>6674357</v>
      </c>
      <c r="D105" s="182">
        <f>'FY2027 Categoricals Report'!L105</f>
        <v>1366575</v>
      </c>
      <c r="E105" s="182">
        <f>ROUND((INDEX(Data[FY2026 Media Services],MATCH(A105,Data[Label],0))+INDEX(Data[FY2026 Ed Services],MATCH(A105,Data[Label],0)))*B105,0)</f>
        <v>111770</v>
      </c>
      <c r="F105" s="194">
        <f t="shared" si="8"/>
        <v>8152702</v>
      </c>
      <c r="G105" s="243">
        <f>INDEX(Data[FY2027 Budget Enrollment],MATCH(A105,Data[Label],0))</f>
        <v>787.1</v>
      </c>
      <c r="H105" s="182">
        <f>'FY2027 RPDC Report'!K105</f>
        <v>6510778.7999999998</v>
      </c>
      <c r="I105" s="182">
        <f>'FY2027 Categoricals Report'!W105</f>
        <v>1377780</v>
      </c>
      <c r="J105" s="182">
        <f>(ROUND(INDEX(Data[FY2026 Media Services],MATCH(A105,Data[Label],0))*(1+$B$6),2)+ROUND(INDEX(Data[FY2026 Ed Services],MATCH(A105,Data[Label],0))*(1+$B$6),2))*G105</f>
        <v>111193.61700000001</v>
      </c>
      <c r="K105" s="182">
        <f t="shared" si="9"/>
        <v>7999752.4169999994</v>
      </c>
      <c r="L105" s="182">
        <f t="shared" si="10"/>
        <v>-152949.58300000057</v>
      </c>
      <c r="M105" s="178">
        <f t="shared" si="11"/>
        <v>-1.8760600227998098E-2</v>
      </c>
      <c r="N105" s="184">
        <f t="shared" si="6"/>
        <v>-19.899999999999977</v>
      </c>
      <c r="O105" s="185">
        <f t="shared" si="7"/>
        <v>-2.4659231722428721E-2</v>
      </c>
    </row>
    <row r="106" spans="1:15" x14ac:dyDescent="0.55000000000000004">
      <c r="A106" s="197" t="s">
        <v>99</v>
      </c>
      <c r="B106" s="176">
        <f>INDEX(Data[FY2026 Budget Enrollment],MATCH(A106,Data[Label],0))</f>
        <v>449</v>
      </c>
      <c r="C106" s="177">
        <f>INDEX(Data[FY2026 RPDC Total],MATCH(A106,Data[Label],0))+INDEX(Data[FY2026 RPDC Budget Guarantee],MATCH(A106,Data[Label],0))</f>
        <v>3586612</v>
      </c>
      <c r="D106" s="177">
        <f>'FY2027 Categoricals Report'!L106</f>
        <v>928160</v>
      </c>
      <c r="E106" s="177">
        <f>ROUND((INDEX(Data[FY2026 Media Services],MATCH(A106,Data[Label],0))+INDEX(Data[FY2026 Ed Services],MATCH(A106,Data[Label],0)))*B106,0)</f>
        <v>61446</v>
      </c>
      <c r="F106" s="193">
        <f t="shared" si="8"/>
        <v>4576218</v>
      </c>
      <c r="G106" s="244">
        <f>INDEX(Data[FY2027 Budget Enrollment],MATCH(A106,Data[Label],0))</f>
        <v>444.8</v>
      </c>
      <c r="H106" s="177">
        <f>'FY2027 RPDC Report'!K106</f>
        <v>3624230.4</v>
      </c>
      <c r="I106" s="177">
        <f>'FY2027 Categoricals Report'!W106</f>
        <v>945188</v>
      </c>
      <c r="J106" s="177">
        <f>(ROUND(INDEX(Data[FY2026 Media Services],MATCH(A106,Data[Label],0))*(1+$B$6),2)+ROUND(INDEX(Data[FY2026 Ed Services],MATCH(A106,Data[Label],0))*(1+$B$6),2))*G106</f>
        <v>62089.632000000005</v>
      </c>
      <c r="K106" s="177">
        <f t="shared" si="9"/>
        <v>4631508.0319999997</v>
      </c>
      <c r="L106" s="177">
        <f t="shared" si="10"/>
        <v>55290.031999999657</v>
      </c>
      <c r="M106" s="178">
        <f t="shared" si="11"/>
        <v>1.20820363015922E-2</v>
      </c>
      <c r="N106" s="179">
        <f t="shared" si="6"/>
        <v>-4.1999999999999886</v>
      </c>
      <c r="O106" s="180">
        <f t="shared" si="7"/>
        <v>-9.3541202672605545E-3</v>
      </c>
    </row>
    <row r="107" spans="1:15" x14ac:dyDescent="0.55000000000000004">
      <c r="A107" s="198" t="s">
        <v>100</v>
      </c>
      <c r="B107" s="181">
        <f>INDEX(Data[FY2026 Budget Enrollment],MATCH(A107,Data[Label],0))</f>
        <v>307</v>
      </c>
      <c r="C107" s="182">
        <f>INDEX(Data[FY2026 RPDC Total],MATCH(A107,Data[Label],0))+INDEX(Data[FY2026 RPDC Budget Guarantee],MATCH(A107,Data[Label],0))</f>
        <v>2452316</v>
      </c>
      <c r="D107" s="182">
        <f>'FY2027 Categoricals Report'!L107</f>
        <v>763764</v>
      </c>
      <c r="E107" s="182">
        <f>ROUND((INDEX(Data[FY2026 Media Services],MATCH(A107,Data[Label],0))+INDEX(Data[FY2026 Ed Services],MATCH(A107,Data[Label],0)))*B107,0)</f>
        <v>42351</v>
      </c>
      <c r="F107" s="194">
        <f t="shared" si="8"/>
        <v>3258431</v>
      </c>
      <c r="G107" s="243">
        <f>INDEX(Data[FY2027 Budget Enrollment],MATCH(A107,Data[Label],0))</f>
        <v>305</v>
      </c>
      <c r="H107" s="182">
        <f>'FY2027 RPDC Report'!K107</f>
        <v>2485140</v>
      </c>
      <c r="I107" s="182">
        <f>'FY2027 Categoricals Report'!W107</f>
        <v>764442</v>
      </c>
      <c r="J107" s="182">
        <f>(ROUND(INDEX(Data[FY2026 Media Services],MATCH(A107,Data[Label],0))*(1+$B$6),2)+ROUND(INDEX(Data[FY2026 Ed Services],MATCH(A107,Data[Label],0))*(1+$B$6),2))*G107</f>
        <v>42916.549999999996</v>
      </c>
      <c r="K107" s="182">
        <f t="shared" si="9"/>
        <v>3292498.55</v>
      </c>
      <c r="L107" s="182">
        <f t="shared" si="10"/>
        <v>34067.549999999814</v>
      </c>
      <c r="M107" s="178">
        <f t="shared" si="11"/>
        <v>1.0455200677872208E-2</v>
      </c>
      <c r="N107" s="184">
        <f t="shared" si="6"/>
        <v>-2</v>
      </c>
      <c r="O107" s="185">
        <f t="shared" si="7"/>
        <v>-6.5146579804560263E-3</v>
      </c>
    </row>
    <row r="108" spans="1:15" x14ac:dyDescent="0.55000000000000004">
      <c r="A108" s="197" t="s">
        <v>101</v>
      </c>
      <c r="B108" s="176">
        <f>INDEX(Data[FY2026 Budget Enrollment],MATCH(A108,Data[Label],0))</f>
        <v>531.6</v>
      </c>
      <c r="C108" s="177">
        <f>INDEX(Data[FY2026 RPDC Total],MATCH(A108,Data[Label],0))+INDEX(Data[FY2026 RPDC Budget Guarantee],MATCH(A108,Data[Label],0))</f>
        <v>4381332</v>
      </c>
      <c r="D108" s="177">
        <f>'FY2027 Categoricals Report'!L108</f>
        <v>1157897</v>
      </c>
      <c r="E108" s="177">
        <f>ROUND((INDEX(Data[FY2026 Media Services],MATCH(A108,Data[Label],0))+INDEX(Data[FY2026 Ed Services],MATCH(A108,Data[Label],0)))*B108,0)</f>
        <v>72117</v>
      </c>
      <c r="F108" s="193">
        <f t="shared" si="8"/>
        <v>5611346</v>
      </c>
      <c r="G108" s="244">
        <f>INDEX(Data[FY2027 Budget Enrollment],MATCH(A108,Data[Label],0))</f>
        <v>519.1</v>
      </c>
      <c r="H108" s="177">
        <f>'FY2027 RPDC Report'!K108</f>
        <v>4288884.8</v>
      </c>
      <c r="I108" s="177">
        <f>'FY2027 Categoricals Report'!W108</f>
        <v>1152905</v>
      </c>
      <c r="J108" s="177">
        <f>(ROUND(INDEX(Data[FY2026 Media Services],MATCH(A108,Data[Label],0))*(1+$B$6),2)+ROUND(INDEX(Data[FY2026 Ed Services],MATCH(A108,Data[Label],0))*(1+$B$6),2))*G108</f>
        <v>71833.058000000005</v>
      </c>
      <c r="K108" s="177">
        <f t="shared" si="9"/>
        <v>5513622.858</v>
      </c>
      <c r="L108" s="177">
        <f t="shared" si="10"/>
        <v>-97723.141999999993</v>
      </c>
      <c r="M108" s="178">
        <f t="shared" si="11"/>
        <v>-1.7415276477337167E-2</v>
      </c>
      <c r="N108" s="179">
        <f t="shared" si="6"/>
        <v>-12.5</v>
      </c>
      <c r="O108" s="180">
        <f t="shared" si="7"/>
        <v>-2.3513920240782544E-2</v>
      </c>
    </row>
    <row r="109" spans="1:15" x14ac:dyDescent="0.55000000000000004">
      <c r="A109" s="198" t="s">
        <v>102</v>
      </c>
      <c r="B109" s="181">
        <f>INDEX(Data[FY2026 Budget Enrollment],MATCH(A109,Data[Label],0))</f>
        <v>789.1</v>
      </c>
      <c r="C109" s="182">
        <f>INDEX(Data[FY2026 RPDC Total],MATCH(A109,Data[Label],0))+INDEX(Data[FY2026 RPDC Budget Guarantee],MATCH(A109,Data[Label],0))</f>
        <v>6303331</v>
      </c>
      <c r="D109" s="182">
        <f>'FY2027 Categoricals Report'!L109</f>
        <v>1558869</v>
      </c>
      <c r="E109" s="182">
        <f>ROUND((INDEX(Data[FY2026 Media Services],MATCH(A109,Data[Label],0))+INDEX(Data[FY2026 Ed Services],MATCH(A109,Data[Label],0)))*B109,0)</f>
        <v>107625</v>
      </c>
      <c r="F109" s="194">
        <f t="shared" si="8"/>
        <v>7969825</v>
      </c>
      <c r="G109" s="243">
        <f>INDEX(Data[FY2027 Budget Enrollment],MATCH(A109,Data[Label],0))</f>
        <v>786.2</v>
      </c>
      <c r="H109" s="182">
        <f>'FY2027 RPDC Report'!K109</f>
        <v>6405957.6000000006</v>
      </c>
      <c r="I109" s="182">
        <f>'FY2027 Categoricals Report'!W109</f>
        <v>1574952</v>
      </c>
      <c r="J109" s="182">
        <f>(ROUND(INDEX(Data[FY2026 Media Services],MATCH(A109,Data[Label],0))*(1+$B$6),2)+ROUND(INDEX(Data[FY2026 Ed Services],MATCH(A109,Data[Label],0))*(1+$B$6),2))*G109</f>
        <v>109376.14400000001</v>
      </c>
      <c r="K109" s="182">
        <f t="shared" si="9"/>
        <v>8090285.7440000009</v>
      </c>
      <c r="L109" s="182">
        <f t="shared" si="10"/>
        <v>120460.74400000088</v>
      </c>
      <c r="M109" s="178">
        <f t="shared" si="11"/>
        <v>1.5114603394679417E-2</v>
      </c>
      <c r="N109" s="184">
        <f t="shared" si="6"/>
        <v>-2.8999999999999773</v>
      </c>
      <c r="O109" s="185">
        <f t="shared" si="7"/>
        <v>-3.6750728678240745E-3</v>
      </c>
    </row>
    <row r="110" spans="1:15" x14ac:dyDescent="0.55000000000000004">
      <c r="A110" s="197" t="s">
        <v>103</v>
      </c>
      <c r="B110" s="176">
        <f>INDEX(Data[FY2026 Budget Enrollment],MATCH(A110,Data[Label],0))</f>
        <v>378</v>
      </c>
      <c r="C110" s="177">
        <f>INDEX(Data[FY2026 RPDC Total],MATCH(A110,Data[Label],0))+INDEX(Data[FY2026 RPDC Budget Guarantee],MATCH(A110,Data[Label],0))</f>
        <v>3098470</v>
      </c>
      <c r="D110" s="177">
        <f>'FY2027 Categoricals Report'!L110</f>
        <v>910369</v>
      </c>
      <c r="E110" s="177">
        <f>ROUND((INDEX(Data[FY2026 Media Services],MATCH(A110,Data[Label],0))+INDEX(Data[FY2026 Ed Services],MATCH(A110,Data[Label],0)))*B110,0)</f>
        <v>52145</v>
      </c>
      <c r="F110" s="193">
        <f t="shared" si="8"/>
        <v>4060984</v>
      </c>
      <c r="G110" s="244">
        <f>INDEX(Data[FY2027 Budget Enrollment],MATCH(A110,Data[Label],0))</f>
        <v>382</v>
      </c>
      <c r="H110" s="177">
        <f>'FY2027 RPDC Report'!K110</f>
        <v>3112536</v>
      </c>
      <c r="I110" s="177">
        <f>'FY2027 Categoricals Report'!W110</f>
        <v>927097</v>
      </c>
      <c r="J110" s="177">
        <f>(ROUND(INDEX(Data[FY2026 Media Services],MATCH(A110,Data[Label],0))*(1+$B$6),2)+ROUND(INDEX(Data[FY2026 Ed Services],MATCH(A110,Data[Label],0))*(1+$B$6),2))*G110</f>
        <v>53751.219999999994</v>
      </c>
      <c r="K110" s="177">
        <f t="shared" si="9"/>
        <v>4093384.2199999997</v>
      </c>
      <c r="L110" s="177">
        <f t="shared" si="10"/>
        <v>32400.219999999739</v>
      </c>
      <c r="M110" s="178">
        <f t="shared" si="11"/>
        <v>7.9784160686177889E-3</v>
      </c>
      <c r="N110" s="179">
        <f t="shared" si="6"/>
        <v>4</v>
      </c>
      <c r="O110" s="180">
        <f t="shared" si="7"/>
        <v>1.0582010582010581E-2</v>
      </c>
    </row>
    <row r="111" spans="1:15" x14ac:dyDescent="0.55000000000000004">
      <c r="A111" s="198" t="s">
        <v>104</v>
      </c>
      <c r="B111" s="181">
        <f>INDEX(Data[FY2026 Budget Enrollment],MATCH(A111,Data[Label],0))</f>
        <v>528.79999999999995</v>
      </c>
      <c r="C111" s="182">
        <f>INDEX(Data[FY2026 RPDC Total],MATCH(A111,Data[Label],0))+INDEX(Data[FY2026 RPDC Budget Guarantee],MATCH(A111,Data[Label],0))</f>
        <v>4274624</v>
      </c>
      <c r="D111" s="182">
        <f>'FY2027 Categoricals Report'!L111</f>
        <v>831869</v>
      </c>
      <c r="E111" s="182">
        <f>ROUND((INDEX(Data[FY2026 Media Services],MATCH(A111,Data[Label],0))+INDEX(Data[FY2026 Ed Services],MATCH(A111,Data[Label],0)))*B111,0)</f>
        <v>73011</v>
      </c>
      <c r="F111" s="194">
        <f t="shared" si="8"/>
        <v>5179504</v>
      </c>
      <c r="G111" s="243">
        <f>INDEX(Data[FY2027 Budget Enrollment],MATCH(A111,Data[Label],0))</f>
        <v>515.70000000000005</v>
      </c>
      <c r="H111" s="182">
        <f>'FY2027 RPDC Report'!K111</f>
        <v>4266294.6000000006</v>
      </c>
      <c r="I111" s="182">
        <f>'FY2027 Categoricals Report'!W111</f>
        <v>831869</v>
      </c>
      <c r="J111" s="182">
        <f>(ROUND(INDEX(Data[FY2026 Media Services],MATCH(A111,Data[Label],0))*(1+$B$6),2)+ROUND(INDEX(Data[FY2026 Ed Services],MATCH(A111,Data[Label],0))*(1+$B$6),2))*G111</f>
        <v>72631.187999999995</v>
      </c>
      <c r="K111" s="182">
        <f t="shared" si="9"/>
        <v>5170794.7880000006</v>
      </c>
      <c r="L111" s="182">
        <f t="shared" si="10"/>
        <v>-8709.2119999993593</v>
      </c>
      <c r="M111" s="178">
        <f t="shared" si="11"/>
        <v>-1.6814760641172125E-3</v>
      </c>
      <c r="N111" s="184">
        <f t="shared" si="6"/>
        <v>-13.099999999999909</v>
      </c>
      <c r="O111" s="185">
        <f t="shared" si="7"/>
        <v>-2.4773071104387121E-2</v>
      </c>
    </row>
    <row r="112" spans="1:15" x14ac:dyDescent="0.55000000000000004">
      <c r="A112" s="197" t="s">
        <v>105</v>
      </c>
      <c r="B112" s="176">
        <f>INDEX(Data[FY2026 Budget Enrollment],MATCH(A112,Data[Label],0))</f>
        <v>603.6</v>
      </c>
      <c r="C112" s="177">
        <f>INDEX(Data[FY2026 RPDC Total],MATCH(A112,Data[Label],0))+INDEX(Data[FY2026 RPDC Budget Guarantee],MATCH(A112,Data[Label],0))</f>
        <v>5133994</v>
      </c>
      <c r="D112" s="177">
        <f>'FY2027 Categoricals Report'!L112</f>
        <v>1031342</v>
      </c>
      <c r="E112" s="177">
        <f>ROUND((INDEX(Data[FY2026 Media Services],MATCH(A112,Data[Label],0))+INDEX(Data[FY2026 Ed Services],MATCH(A112,Data[Label],0)))*B112,0)</f>
        <v>83599</v>
      </c>
      <c r="F112" s="193">
        <f t="shared" si="8"/>
        <v>6248935</v>
      </c>
      <c r="G112" s="244">
        <f>INDEX(Data[FY2027 Budget Enrollment],MATCH(A112,Data[Label],0))</f>
        <v>584.70000000000005</v>
      </c>
      <c r="H112" s="177">
        <f>'FY2027 RPDC Report'!K112</f>
        <v>4920372.7</v>
      </c>
      <c r="I112" s="177">
        <f>'FY2027 Categoricals Report'!W112</f>
        <v>1040591</v>
      </c>
      <c r="J112" s="177">
        <f>(ROUND(INDEX(Data[FY2026 Media Services],MATCH(A112,Data[Label],0))*(1+$B$6),2)+ROUND(INDEX(Data[FY2026 Ed Services],MATCH(A112,Data[Label],0))*(1+$B$6),2))*G112</f>
        <v>82600.569000000018</v>
      </c>
      <c r="K112" s="177">
        <f t="shared" si="9"/>
        <v>6043564.2690000003</v>
      </c>
      <c r="L112" s="177">
        <f t="shared" si="10"/>
        <v>-205370.73099999968</v>
      </c>
      <c r="M112" s="178">
        <f t="shared" si="11"/>
        <v>-3.2864917141880924E-2</v>
      </c>
      <c r="N112" s="179">
        <f t="shared" si="6"/>
        <v>-18.899999999999977</v>
      </c>
      <c r="O112" s="180">
        <f t="shared" si="7"/>
        <v>-3.131212723658048E-2</v>
      </c>
    </row>
    <row r="113" spans="1:15" x14ac:dyDescent="0.55000000000000004">
      <c r="A113" s="198" t="s">
        <v>106</v>
      </c>
      <c r="B113" s="181">
        <f>INDEX(Data[FY2026 Budget Enrollment],MATCH(A113,Data[Label],0))</f>
        <v>443.4</v>
      </c>
      <c r="C113" s="182">
        <f>INDEX(Data[FY2026 RPDC Total],MATCH(A113,Data[Label],0))+INDEX(Data[FY2026 RPDC Budget Guarantee],MATCH(A113,Data[Label],0))</f>
        <v>3569423</v>
      </c>
      <c r="D113" s="182">
        <f>'FY2027 Categoricals Report'!L113</f>
        <v>798265</v>
      </c>
      <c r="E113" s="182">
        <f>ROUND((INDEX(Data[FY2026 Media Services],MATCH(A113,Data[Label],0))+INDEX(Data[FY2026 Ed Services],MATCH(A113,Data[Label],0)))*B113,0)</f>
        <v>60497</v>
      </c>
      <c r="F113" s="194">
        <f t="shared" si="8"/>
        <v>4428185</v>
      </c>
      <c r="G113" s="243">
        <f>INDEX(Data[FY2027 Budget Enrollment],MATCH(A113,Data[Label],0))</f>
        <v>440.5</v>
      </c>
      <c r="H113" s="182">
        <f>'FY2027 RPDC Report'!K113</f>
        <v>3603730.5</v>
      </c>
      <c r="I113" s="182">
        <f>'FY2027 Categoricals Report'!W113</f>
        <v>805917</v>
      </c>
      <c r="J113" s="182">
        <f>(ROUND(INDEX(Data[FY2026 Media Services],MATCH(A113,Data[Label],0))*(1+$B$6),2)+ROUND(INDEX(Data[FY2026 Ed Services],MATCH(A113,Data[Label],0))*(1+$B$6),2))*G113</f>
        <v>61304.385000000009</v>
      </c>
      <c r="K113" s="182">
        <f t="shared" si="9"/>
        <v>4470951.8849999998</v>
      </c>
      <c r="L113" s="182">
        <f t="shared" si="10"/>
        <v>42766.884999999776</v>
      </c>
      <c r="M113" s="178">
        <f t="shared" si="11"/>
        <v>9.6578812764145528E-3</v>
      </c>
      <c r="N113" s="184">
        <f t="shared" si="6"/>
        <v>-2.8999999999999773</v>
      </c>
      <c r="O113" s="185">
        <f t="shared" si="7"/>
        <v>-6.540369869192552E-3</v>
      </c>
    </row>
    <row r="114" spans="1:15" x14ac:dyDescent="0.55000000000000004">
      <c r="A114" s="197" t="s">
        <v>107</v>
      </c>
      <c r="B114" s="176">
        <f>INDEX(Data[FY2026 Budget Enrollment],MATCH(A114,Data[Label],0))</f>
        <v>163</v>
      </c>
      <c r="C114" s="177">
        <f>INDEX(Data[FY2026 RPDC Total],MATCH(A114,Data[Label],0))+INDEX(Data[FY2026 RPDC Budget Guarantee],MATCH(A114,Data[Label],0))</f>
        <v>1392730</v>
      </c>
      <c r="D114" s="177">
        <f>'FY2027 Categoricals Report'!L114</f>
        <v>421654</v>
      </c>
      <c r="E114" s="177">
        <f>ROUND((INDEX(Data[FY2026 Media Services],MATCH(A114,Data[Label],0))+INDEX(Data[FY2026 Ed Services],MATCH(A114,Data[Label],0)))*B114,0)</f>
        <v>22307</v>
      </c>
      <c r="F114" s="193">
        <f t="shared" si="8"/>
        <v>1836691</v>
      </c>
      <c r="G114" s="244">
        <f>INDEX(Data[FY2027 Budget Enrollment],MATCH(A114,Data[Label],0))</f>
        <v>178.1</v>
      </c>
      <c r="H114" s="177">
        <f>'FY2027 RPDC Report'!K114</f>
        <v>1451158.8</v>
      </c>
      <c r="I114" s="177">
        <f>'FY2027 Categoricals Report'!W114</f>
        <v>461326</v>
      </c>
      <c r="J114" s="177">
        <f>(ROUND(INDEX(Data[FY2026 Media Services],MATCH(A114,Data[Label],0))*(1+$B$6),2)+ROUND(INDEX(Data[FY2026 Ed Services],MATCH(A114,Data[Label],0))*(1+$B$6),2))*G114</f>
        <v>24860.978999999999</v>
      </c>
      <c r="K114" s="177">
        <f t="shared" si="9"/>
        <v>1937345.7790000001</v>
      </c>
      <c r="L114" s="177">
        <f t="shared" si="10"/>
        <v>100654.7790000001</v>
      </c>
      <c r="M114" s="178">
        <f t="shared" si="11"/>
        <v>5.4802238917705859E-2</v>
      </c>
      <c r="N114" s="179">
        <f t="shared" si="6"/>
        <v>15.099999999999994</v>
      </c>
      <c r="O114" s="180">
        <f t="shared" si="7"/>
        <v>9.2638036809815916E-2</v>
      </c>
    </row>
    <row r="115" spans="1:15" x14ac:dyDescent="0.55000000000000004">
      <c r="A115" s="198" t="s">
        <v>108</v>
      </c>
      <c r="B115" s="181">
        <f>INDEX(Data[FY2026 Budget Enrollment],MATCH(A115,Data[Label],0))</f>
        <v>1147.7</v>
      </c>
      <c r="C115" s="182">
        <f>INDEX(Data[FY2026 RPDC Total],MATCH(A115,Data[Label],0))+INDEX(Data[FY2026 RPDC Budget Guarantee],MATCH(A115,Data[Label],0))</f>
        <v>9232967</v>
      </c>
      <c r="D115" s="182">
        <f>'FY2027 Categoricals Report'!L115</f>
        <v>1792960</v>
      </c>
      <c r="E115" s="182">
        <f>ROUND((INDEX(Data[FY2026 Media Services],MATCH(A115,Data[Label],0))+INDEX(Data[FY2026 Ed Services],MATCH(A115,Data[Label],0)))*B115,0)</f>
        <v>158956</v>
      </c>
      <c r="F115" s="194">
        <f t="shared" si="8"/>
        <v>11184883</v>
      </c>
      <c r="G115" s="243">
        <f>INDEX(Data[FY2027 Budget Enrollment],MATCH(A115,Data[Label],0))</f>
        <v>1151.3</v>
      </c>
      <c r="H115" s="182">
        <f>'FY2027 RPDC Report'!K115</f>
        <v>9380792.4000000004</v>
      </c>
      <c r="I115" s="182">
        <f>'FY2027 Categoricals Report'!W115</f>
        <v>1826952</v>
      </c>
      <c r="J115" s="182">
        <f>(ROUND(INDEX(Data[FY2026 Media Services],MATCH(A115,Data[Label],0))*(1+$B$6),2)+ROUND(INDEX(Data[FY2026 Ed Services],MATCH(A115,Data[Label],0))*(1+$B$6),2))*G115</f>
        <v>162644.15100000001</v>
      </c>
      <c r="K115" s="182">
        <f t="shared" si="9"/>
        <v>11370388.551000001</v>
      </c>
      <c r="L115" s="182">
        <f t="shared" si="10"/>
        <v>185505.55100000091</v>
      </c>
      <c r="M115" s="178">
        <f t="shared" si="11"/>
        <v>1.658538144744124E-2</v>
      </c>
      <c r="N115" s="184">
        <f t="shared" si="6"/>
        <v>3.5999999999999091</v>
      </c>
      <c r="O115" s="185">
        <f t="shared" si="7"/>
        <v>3.1367081990066295E-3</v>
      </c>
    </row>
    <row r="116" spans="1:15" x14ac:dyDescent="0.55000000000000004">
      <c r="A116" s="197" t="s">
        <v>109</v>
      </c>
      <c r="B116" s="176">
        <f>INDEX(Data[FY2026 Budget Enrollment],MATCH(A116,Data[Label],0))</f>
        <v>423.5</v>
      </c>
      <c r="C116" s="177">
        <f>INDEX(Data[FY2026 RPDC Total],MATCH(A116,Data[Label],0))+INDEX(Data[FY2026 RPDC Budget Guarantee],MATCH(A116,Data[Label],0))</f>
        <v>3401552</v>
      </c>
      <c r="D116" s="177">
        <f>'FY2027 Categoricals Report'!L116</f>
        <v>856507</v>
      </c>
      <c r="E116" s="177">
        <f>ROUND((INDEX(Data[FY2026 Media Services],MATCH(A116,Data[Label],0))+INDEX(Data[FY2026 Ed Services],MATCH(A116,Data[Label],0)))*B116,0)</f>
        <v>57655</v>
      </c>
      <c r="F116" s="193">
        <f t="shared" si="8"/>
        <v>4315714</v>
      </c>
      <c r="G116" s="244">
        <f>INDEX(Data[FY2027 Budget Enrollment],MATCH(A116,Data[Label],0))</f>
        <v>400.8</v>
      </c>
      <c r="H116" s="177">
        <f>'FY2027 RPDC Report'!K116</f>
        <v>3435567.6</v>
      </c>
      <c r="I116" s="177">
        <f>'FY2027 Categoricals Report'!W116</f>
        <v>856507</v>
      </c>
      <c r="J116" s="177">
        <f>(ROUND(INDEX(Data[FY2026 Media Services],MATCH(A116,Data[Label],0))*(1+$B$6),2)+ROUND(INDEX(Data[FY2026 Ed Services],MATCH(A116,Data[Label],0))*(1+$B$6),2))*G116</f>
        <v>55659.096000000005</v>
      </c>
      <c r="K116" s="177">
        <f t="shared" si="9"/>
        <v>4347733.6960000005</v>
      </c>
      <c r="L116" s="177">
        <f t="shared" si="10"/>
        <v>32019.696000000462</v>
      </c>
      <c r="M116" s="178">
        <f t="shared" si="11"/>
        <v>7.4193276014120632E-3</v>
      </c>
      <c r="N116" s="179">
        <f t="shared" si="6"/>
        <v>-22.699999999999989</v>
      </c>
      <c r="O116" s="180">
        <f t="shared" si="7"/>
        <v>-5.3600944510035393E-2</v>
      </c>
    </row>
    <row r="117" spans="1:15" x14ac:dyDescent="0.55000000000000004">
      <c r="A117" s="198" t="s">
        <v>110</v>
      </c>
      <c r="B117" s="181">
        <f>INDEX(Data[FY2026 Budget Enrollment],MATCH(A117,Data[Label],0))</f>
        <v>1479.7</v>
      </c>
      <c r="C117" s="182">
        <f>INDEX(Data[FY2026 RPDC Total],MATCH(A117,Data[Label],0))+INDEX(Data[FY2026 RPDC Budget Guarantee],MATCH(A117,Data[Label],0))</f>
        <v>12060320</v>
      </c>
      <c r="D117" s="182">
        <f>'FY2027 Categoricals Report'!L117</f>
        <v>2711015</v>
      </c>
      <c r="E117" s="182">
        <f>ROUND((INDEX(Data[FY2026 Media Services],MATCH(A117,Data[Label],0))+INDEX(Data[FY2026 Ed Services],MATCH(A117,Data[Label],0)))*B117,0)</f>
        <v>201816</v>
      </c>
      <c r="F117" s="194">
        <f t="shared" si="8"/>
        <v>14973151</v>
      </c>
      <c r="G117" s="243">
        <f>INDEX(Data[FY2027 Budget Enrollment],MATCH(A117,Data[Label],0))</f>
        <v>1484</v>
      </c>
      <c r="H117" s="182">
        <f>'FY2027 RPDC Report'!K117</f>
        <v>12091632</v>
      </c>
      <c r="I117" s="182">
        <f>'FY2027 Categoricals Report'!W117</f>
        <v>2788776</v>
      </c>
      <c r="J117" s="182">
        <f>(ROUND(INDEX(Data[FY2026 Media Services],MATCH(A117,Data[Label],0))*(1+$B$6),2)+ROUND(INDEX(Data[FY2026 Ed Services],MATCH(A117,Data[Label],0))*(1+$B$6),2))*G117</f>
        <v>206454.08000000002</v>
      </c>
      <c r="K117" s="182">
        <f t="shared" si="9"/>
        <v>15086862.08</v>
      </c>
      <c r="L117" s="182">
        <f t="shared" si="10"/>
        <v>113711.08000000007</v>
      </c>
      <c r="M117" s="178">
        <f t="shared" si="11"/>
        <v>7.5943320146841554E-3</v>
      </c>
      <c r="N117" s="184">
        <f t="shared" si="6"/>
        <v>4.2999999999999545</v>
      </c>
      <c r="O117" s="185">
        <f t="shared" si="7"/>
        <v>2.9059944583361185E-3</v>
      </c>
    </row>
    <row r="118" spans="1:15" x14ac:dyDescent="0.55000000000000004">
      <c r="A118" s="197" t="s">
        <v>111</v>
      </c>
      <c r="B118" s="176">
        <f>INDEX(Data[FY2026 Budget Enrollment],MATCH(A118,Data[Label],0))</f>
        <v>1018.8</v>
      </c>
      <c r="C118" s="177">
        <f>INDEX(Data[FY2026 RPDC Total],MATCH(A118,Data[Label],0))+INDEX(Data[FY2026 RPDC Budget Guarantee],MATCH(A118,Data[Label],0))</f>
        <v>8344527</v>
      </c>
      <c r="D118" s="177">
        <f>'FY2027 Categoricals Report'!L118</f>
        <v>1654970</v>
      </c>
      <c r="E118" s="177">
        <f>ROUND((INDEX(Data[FY2026 Media Services],MATCH(A118,Data[Label],0))+INDEX(Data[FY2026 Ed Services],MATCH(A118,Data[Label],0)))*B118,0)</f>
        <v>140666</v>
      </c>
      <c r="F118" s="193">
        <f t="shared" si="8"/>
        <v>10140163</v>
      </c>
      <c r="G118" s="244">
        <f>INDEX(Data[FY2027 Budget Enrollment],MATCH(A118,Data[Label],0))</f>
        <v>1055.2</v>
      </c>
      <c r="H118" s="177">
        <f>'FY2027 RPDC Report'!K118</f>
        <v>8597769.5999999996</v>
      </c>
      <c r="I118" s="177">
        <f>'FY2027 Categoricals Report'!W118</f>
        <v>1746447</v>
      </c>
      <c r="J118" s="177">
        <f>(ROUND(INDEX(Data[FY2026 Media Services],MATCH(A118,Data[Label],0))*(1+$B$6),2)+ROUND(INDEX(Data[FY2026 Ed Services],MATCH(A118,Data[Label],0))*(1+$B$6),2))*G118</f>
        <v>148614.36799999999</v>
      </c>
      <c r="K118" s="177">
        <f t="shared" si="9"/>
        <v>10492830.968</v>
      </c>
      <c r="L118" s="177">
        <f t="shared" si="10"/>
        <v>352667.96800000034</v>
      </c>
      <c r="M118" s="178">
        <f t="shared" si="11"/>
        <v>3.4779319425141425E-2</v>
      </c>
      <c r="N118" s="179">
        <f t="shared" si="6"/>
        <v>36.400000000000091</v>
      </c>
      <c r="O118" s="180">
        <f t="shared" si="7"/>
        <v>3.5728307813113556E-2</v>
      </c>
    </row>
    <row r="119" spans="1:15" x14ac:dyDescent="0.55000000000000004">
      <c r="A119" s="198" t="s">
        <v>112</v>
      </c>
      <c r="B119" s="181">
        <f>INDEX(Data[FY2026 Budget Enrollment],MATCH(A119,Data[Label],0))</f>
        <v>3422.9</v>
      </c>
      <c r="C119" s="182">
        <f>INDEX(Data[FY2026 RPDC Total],MATCH(A119,Data[Label],0))+INDEX(Data[FY2026 RPDC Budget Guarantee],MATCH(A119,Data[Label],0))</f>
        <v>27837223</v>
      </c>
      <c r="D119" s="182">
        <f>'FY2027 Categoricals Report'!L119</f>
        <v>5534399</v>
      </c>
      <c r="E119" s="182">
        <f>ROUND((INDEX(Data[FY2026 Media Services],MATCH(A119,Data[Label],0))+INDEX(Data[FY2026 Ed Services],MATCH(A119,Data[Label],0)))*B119,0)</f>
        <v>474072</v>
      </c>
      <c r="F119" s="194">
        <f t="shared" si="8"/>
        <v>33845694</v>
      </c>
      <c r="G119" s="243">
        <f>INDEX(Data[FY2027 Budget Enrollment],MATCH(A119,Data[Label],0))</f>
        <v>3331.3</v>
      </c>
      <c r="H119" s="182">
        <f>'FY2027 RPDC Report'!K119</f>
        <v>27615546.400000002</v>
      </c>
      <c r="I119" s="182">
        <f>'FY2027 Categoricals Report'!W119</f>
        <v>5769151</v>
      </c>
      <c r="J119" s="182">
        <f>(ROUND(INDEX(Data[FY2026 Media Services],MATCH(A119,Data[Label],0))*(1+$B$6),2)+ROUND(INDEX(Data[FY2026 Ed Services],MATCH(A119,Data[Label],0))*(1+$B$6),2))*G119</f>
        <v>470612.75100000005</v>
      </c>
      <c r="K119" s="182">
        <f t="shared" si="9"/>
        <v>33855310.151000001</v>
      </c>
      <c r="L119" s="182">
        <f t="shared" si="10"/>
        <v>9616.1510000005364</v>
      </c>
      <c r="M119" s="178">
        <f t="shared" si="11"/>
        <v>2.8411741239522335E-4</v>
      </c>
      <c r="N119" s="184">
        <f t="shared" si="6"/>
        <v>-91.599999999999909</v>
      </c>
      <c r="O119" s="185">
        <f t="shared" si="7"/>
        <v>-2.6760933711180549E-2</v>
      </c>
    </row>
    <row r="120" spans="1:15" x14ac:dyDescent="0.55000000000000004">
      <c r="A120" s="197" t="s">
        <v>113</v>
      </c>
      <c r="B120" s="176">
        <f>INDEX(Data[FY2026 Budget Enrollment],MATCH(A120,Data[Label],0))</f>
        <v>2080.5</v>
      </c>
      <c r="C120" s="177">
        <f>INDEX(Data[FY2026 RPDC Total],MATCH(A120,Data[Label],0))+INDEX(Data[FY2026 RPDC Budget Guarantee],MATCH(A120,Data[Label],0))</f>
        <v>16619034</v>
      </c>
      <c r="D120" s="177">
        <f>'FY2027 Categoricals Report'!L120</f>
        <v>2979813</v>
      </c>
      <c r="E120" s="177">
        <f>ROUND((INDEX(Data[FY2026 Media Services],MATCH(A120,Data[Label],0))+INDEX(Data[FY2026 Ed Services],MATCH(A120,Data[Label],0)))*B120,0)</f>
        <v>283759</v>
      </c>
      <c r="F120" s="193">
        <f t="shared" si="8"/>
        <v>19882606</v>
      </c>
      <c r="G120" s="244">
        <f>INDEX(Data[FY2027 Budget Enrollment],MATCH(A120,Data[Label],0))</f>
        <v>2038.6</v>
      </c>
      <c r="H120" s="177">
        <f>'FY2027 RPDC Report'!K120</f>
        <v>16785224.799999997</v>
      </c>
      <c r="I120" s="177">
        <f>'FY2027 Categoricals Report'!W120</f>
        <v>3107872</v>
      </c>
      <c r="J120" s="177">
        <f>(ROUND(INDEX(Data[FY2026 Media Services],MATCH(A120,Data[Label],0))*(1+$B$6),2)+ROUND(INDEX(Data[FY2026 Ed Services],MATCH(A120,Data[Label],0))*(1+$B$6),2))*G120</f>
        <v>283610.03200000001</v>
      </c>
      <c r="K120" s="177">
        <f t="shared" si="9"/>
        <v>20176706.831999999</v>
      </c>
      <c r="L120" s="177">
        <f t="shared" si="10"/>
        <v>294100.83199999854</v>
      </c>
      <c r="M120" s="178">
        <f t="shared" si="11"/>
        <v>1.4791865412411157E-2</v>
      </c>
      <c r="N120" s="179">
        <f t="shared" si="6"/>
        <v>-41.900000000000091</v>
      </c>
      <c r="O120" s="180">
        <f t="shared" si="7"/>
        <v>-2.0139389569814991E-2</v>
      </c>
    </row>
    <row r="121" spans="1:15" x14ac:dyDescent="0.55000000000000004">
      <c r="A121" s="198" t="s">
        <v>114</v>
      </c>
      <c r="B121" s="181">
        <f>INDEX(Data[FY2026 Budget Enrollment],MATCH(A121,Data[Label],0))</f>
        <v>440</v>
      </c>
      <c r="C121" s="182">
        <f>INDEX(Data[FY2026 RPDC Total],MATCH(A121,Data[Label],0))+INDEX(Data[FY2026 RPDC Budget Guarantee],MATCH(A121,Data[Label],0))</f>
        <v>3518187</v>
      </c>
      <c r="D121" s="182">
        <f>'FY2027 Categoricals Report'!L121</f>
        <v>751172</v>
      </c>
      <c r="E121" s="182">
        <f>ROUND((INDEX(Data[FY2026 Media Services],MATCH(A121,Data[Label],0))+INDEX(Data[FY2026 Ed Services],MATCH(A121,Data[Label],0)))*B121,0)</f>
        <v>60214</v>
      </c>
      <c r="F121" s="194">
        <f t="shared" si="8"/>
        <v>4329573</v>
      </c>
      <c r="G121" s="243">
        <f>INDEX(Data[FY2027 Budget Enrollment],MATCH(A121,Data[Label],0))</f>
        <v>437</v>
      </c>
      <c r="H121" s="182">
        <f>'FY2027 RPDC Report'!K121</f>
        <v>3560676</v>
      </c>
      <c r="I121" s="182">
        <f>'FY2027 Categoricals Report'!W121</f>
        <v>758648</v>
      </c>
      <c r="J121" s="182">
        <f>(ROUND(INDEX(Data[FY2026 Media Services],MATCH(A121,Data[Label],0))*(1+$B$6),2)+ROUND(INDEX(Data[FY2026 Ed Services],MATCH(A121,Data[Label],0))*(1+$B$6),2))*G121</f>
        <v>61000.83</v>
      </c>
      <c r="K121" s="182">
        <f t="shared" si="9"/>
        <v>4380324.83</v>
      </c>
      <c r="L121" s="182">
        <f t="shared" si="10"/>
        <v>50751.830000000075</v>
      </c>
      <c r="M121" s="178">
        <f t="shared" si="11"/>
        <v>1.1722132875459099E-2</v>
      </c>
      <c r="N121" s="184">
        <f t="shared" si="6"/>
        <v>-3</v>
      </c>
      <c r="O121" s="185">
        <f t="shared" si="7"/>
        <v>-6.8181818181818179E-3</v>
      </c>
    </row>
    <row r="122" spans="1:15" x14ac:dyDescent="0.55000000000000004">
      <c r="A122" s="197" t="s">
        <v>115</v>
      </c>
      <c r="B122" s="176">
        <f>INDEX(Data[FY2026 Budget Enrollment],MATCH(A122,Data[Label],0))</f>
        <v>249.3</v>
      </c>
      <c r="C122" s="177">
        <f>INDEX(Data[FY2026 RPDC Total],MATCH(A122,Data[Label],0))+INDEX(Data[FY2026 RPDC Budget Guarantee],MATCH(A122,Data[Label],0))</f>
        <v>1991408</v>
      </c>
      <c r="D122" s="177">
        <f>'FY2027 Categoricals Report'!L122</f>
        <v>791678</v>
      </c>
      <c r="E122" s="177">
        <f>ROUND((INDEX(Data[FY2026 Media Services],MATCH(A122,Data[Label],0))+INDEX(Data[FY2026 Ed Services],MATCH(A122,Data[Label],0)))*B122,0)</f>
        <v>34421</v>
      </c>
      <c r="F122" s="193">
        <f t="shared" si="8"/>
        <v>2817507</v>
      </c>
      <c r="G122" s="244">
        <f>INDEX(Data[FY2027 Budget Enrollment],MATCH(A122,Data[Label],0))</f>
        <v>230.1</v>
      </c>
      <c r="H122" s="177">
        <f>'FY2027 RPDC Report'!K122</f>
        <v>2011321.8</v>
      </c>
      <c r="I122" s="177">
        <f>'FY2027 Categoricals Report'!W122</f>
        <v>791678</v>
      </c>
      <c r="J122" s="177">
        <f>(ROUND(INDEX(Data[FY2026 Media Services],MATCH(A122,Data[Label],0))*(1+$B$6),2)+ROUND(INDEX(Data[FY2026 Ed Services],MATCH(A122,Data[Label],0))*(1+$B$6),2))*G122</f>
        <v>32407.283999999992</v>
      </c>
      <c r="K122" s="177">
        <f t="shared" si="9"/>
        <v>2835407.0839999998</v>
      </c>
      <c r="L122" s="177">
        <f t="shared" si="10"/>
        <v>17900.083999999799</v>
      </c>
      <c r="M122" s="178">
        <f t="shared" si="11"/>
        <v>6.3531639850406049E-3</v>
      </c>
      <c r="N122" s="179">
        <f t="shared" si="6"/>
        <v>-19.200000000000017</v>
      </c>
      <c r="O122" s="180">
        <f t="shared" si="7"/>
        <v>-7.7015643802647471E-2</v>
      </c>
    </row>
    <row r="123" spans="1:15" x14ac:dyDescent="0.55000000000000004">
      <c r="A123" s="198" t="s">
        <v>116</v>
      </c>
      <c r="B123" s="181">
        <f>INDEX(Data[FY2026 Budget Enrollment],MATCH(A123,Data[Label],0))</f>
        <v>470.4</v>
      </c>
      <c r="C123" s="182">
        <f>INDEX(Data[FY2026 RPDC Total],MATCH(A123,Data[Label],0))+INDEX(Data[FY2026 RPDC Budget Guarantee],MATCH(A123,Data[Label],0))</f>
        <v>3757555</v>
      </c>
      <c r="D123" s="182">
        <f>'FY2027 Categoricals Report'!L123</f>
        <v>810254</v>
      </c>
      <c r="E123" s="182">
        <f>ROUND((INDEX(Data[FY2026 Media Services],MATCH(A123,Data[Label],0))+INDEX(Data[FY2026 Ed Services],MATCH(A123,Data[Label],0)))*B123,0)</f>
        <v>65070</v>
      </c>
      <c r="F123" s="194">
        <f t="shared" si="8"/>
        <v>4632879</v>
      </c>
      <c r="G123" s="243">
        <f>INDEX(Data[FY2027 Budget Enrollment],MATCH(A123,Data[Label],0))</f>
        <v>452.7</v>
      </c>
      <c r="H123" s="182">
        <f>'FY2027 RPDC Report'!K123</f>
        <v>3795130.6</v>
      </c>
      <c r="I123" s="182">
        <f>'FY2027 Categoricals Report'!W123</f>
        <v>810254</v>
      </c>
      <c r="J123" s="182">
        <f>(ROUND(INDEX(Data[FY2026 Media Services],MATCH(A123,Data[Label],0))*(1+$B$6),2)+ROUND(INDEX(Data[FY2026 Ed Services],MATCH(A123,Data[Label],0))*(1+$B$6),2))*G123</f>
        <v>63875.969999999994</v>
      </c>
      <c r="K123" s="182">
        <f t="shared" si="9"/>
        <v>4669260.57</v>
      </c>
      <c r="L123" s="182">
        <f t="shared" si="10"/>
        <v>36381.570000000298</v>
      </c>
      <c r="M123" s="178">
        <f t="shared" si="11"/>
        <v>7.8529074469677052E-3</v>
      </c>
      <c r="N123" s="184">
        <f t="shared" si="6"/>
        <v>-17.699999999999989</v>
      </c>
      <c r="O123" s="185">
        <f t="shared" si="7"/>
        <v>-3.7627551020408143E-2</v>
      </c>
    </row>
    <row r="124" spans="1:15" x14ac:dyDescent="0.55000000000000004">
      <c r="A124" s="197" t="s">
        <v>117</v>
      </c>
      <c r="B124" s="176">
        <f>INDEX(Data[FY2026 Budget Enrollment],MATCH(A124,Data[Label],0))</f>
        <v>824.3</v>
      </c>
      <c r="C124" s="177">
        <f>INDEX(Data[FY2026 RPDC Total],MATCH(A124,Data[Label],0))+INDEX(Data[FY2026 RPDC Budget Guarantee],MATCH(A124,Data[Label],0))</f>
        <v>6679891</v>
      </c>
      <c r="D124" s="177">
        <f>'FY2027 Categoricals Report'!L124</f>
        <v>1437514</v>
      </c>
      <c r="E124" s="177">
        <f>ROUND((INDEX(Data[FY2026 Media Services],MATCH(A124,Data[Label],0))+INDEX(Data[FY2026 Ed Services],MATCH(A124,Data[Label],0)))*B124,0)</f>
        <v>113811</v>
      </c>
      <c r="F124" s="193">
        <f t="shared" si="8"/>
        <v>8231216</v>
      </c>
      <c r="G124" s="244">
        <f>INDEX(Data[FY2027 Budget Enrollment],MATCH(A124,Data[Label],0))</f>
        <v>825.4</v>
      </c>
      <c r="H124" s="177">
        <f>'FY2027 RPDC Report'!K124</f>
        <v>6725359.2000000002</v>
      </c>
      <c r="I124" s="177">
        <f>'FY2027 Categoricals Report'!W124</f>
        <v>1497922</v>
      </c>
      <c r="J124" s="177">
        <f>(ROUND(INDEX(Data[FY2026 Media Services],MATCH(A124,Data[Label],0))*(1+$B$6),2)+ROUND(INDEX(Data[FY2026 Ed Services],MATCH(A124,Data[Label],0))*(1+$B$6),2))*G124</f>
        <v>116249.33599999998</v>
      </c>
      <c r="K124" s="177">
        <f t="shared" si="9"/>
        <v>8339530.5360000003</v>
      </c>
      <c r="L124" s="177">
        <f t="shared" si="10"/>
        <v>108314.53600000031</v>
      </c>
      <c r="M124" s="178">
        <f t="shared" si="11"/>
        <v>1.3158995706102272E-2</v>
      </c>
      <c r="N124" s="179">
        <f t="shared" si="6"/>
        <v>1.1000000000000227</v>
      </c>
      <c r="O124" s="180">
        <f t="shared" si="7"/>
        <v>1.334465607181879E-3</v>
      </c>
    </row>
    <row r="125" spans="1:15" x14ac:dyDescent="0.55000000000000004">
      <c r="A125" s="198" t="s">
        <v>118</v>
      </c>
      <c r="B125" s="181">
        <f>INDEX(Data[FY2026 Budget Enrollment],MATCH(A125,Data[Label],0))</f>
        <v>413.2</v>
      </c>
      <c r="C125" s="182">
        <f>INDEX(Data[FY2026 RPDC Total],MATCH(A125,Data[Label],0))+INDEX(Data[FY2026 RPDC Budget Guarantee],MATCH(A125,Data[Label],0))</f>
        <v>3588534</v>
      </c>
      <c r="D125" s="182">
        <f>'FY2027 Categoricals Report'!L125</f>
        <v>821697</v>
      </c>
      <c r="E125" s="182">
        <f>ROUND((INDEX(Data[FY2026 Media Services],MATCH(A125,Data[Label],0))+INDEX(Data[FY2026 Ed Services],MATCH(A125,Data[Label],0)))*B125,0)</f>
        <v>57158</v>
      </c>
      <c r="F125" s="194">
        <f t="shared" si="8"/>
        <v>4467389</v>
      </c>
      <c r="G125" s="243">
        <f>INDEX(Data[FY2027 Budget Enrollment],MATCH(A125,Data[Label],0))</f>
        <v>405.2</v>
      </c>
      <c r="H125" s="182">
        <f>'FY2027 RPDC Report'!K125</f>
        <v>3333648.6</v>
      </c>
      <c r="I125" s="182">
        <f>'FY2027 Categoricals Report'!W125</f>
        <v>806329</v>
      </c>
      <c r="J125" s="182">
        <f>(ROUND(INDEX(Data[FY2026 Media Services],MATCH(A125,Data[Label],0))*(1+$B$6),2)+ROUND(INDEX(Data[FY2026 Ed Services],MATCH(A125,Data[Label],0))*(1+$B$6),2))*G125</f>
        <v>57173.719999999994</v>
      </c>
      <c r="K125" s="182">
        <f t="shared" si="9"/>
        <v>4197151.32</v>
      </c>
      <c r="L125" s="182">
        <f t="shared" si="10"/>
        <v>-270237.6799999997</v>
      </c>
      <c r="M125" s="178">
        <f t="shared" si="11"/>
        <v>-6.0491190715650615E-2</v>
      </c>
      <c r="N125" s="184">
        <f t="shared" si="6"/>
        <v>-8</v>
      </c>
      <c r="O125" s="185">
        <f t="shared" si="7"/>
        <v>-1.9361084220716359E-2</v>
      </c>
    </row>
    <row r="126" spans="1:15" x14ac:dyDescent="0.55000000000000004">
      <c r="A126" s="197" t="s">
        <v>119</v>
      </c>
      <c r="B126" s="176">
        <f>INDEX(Data[FY2026 Budget Enrollment],MATCH(A126,Data[Label],0))</f>
        <v>1590.5</v>
      </c>
      <c r="C126" s="177">
        <f>INDEX(Data[FY2026 RPDC Total],MATCH(A126,Data[Label],0))+INDEX(Data[FY2026 RPDC Budget Guarantee],MATCH(A126,Data[Label],0))</f>
        <v>12706889</v>
      </c>
      <c r="D126" s="177">
        <f>'FY2027 Categoricals Report'!L126</f>
        <v>2067145</v>
      </c>
      <c r="E126" s="177">
        <f>ROUND((INDEX(Data[FY2026 Media Services],MATCH(A126,Data[Label],0))+INDEX(Data[FY2026 Ed Services],MATCH(A126,Data[Label],0)))*B126,0)</f>
        <v>216531</v>
      </c>
      <c r="F126" s="193">
        <f t="shared" si="8"/>
        <v>14990565</v>
      </c>
      <c r="G126" s="244">
        <f>INDEX(Data[FY2027 Budget Enrollment],MATCH(A126,Data[Label],0))</f>
        <v>1593</v>
      </c>
      <c r="H126" s="177">
        <f>'FY2027 RPDC Report'!K126</f>
        <v>12979764</v>
      </c>
      <c r="I126" s="177">
        <f>'FY2027 Categoricals Report'!W126</f>
        <v>2129776</v>
      </c>
      <c r="J126" s="177">
        <f>(ROUND(INDEX(Data[FY2026 Media Services],MATCH(A126,Data[Label],0))*(1+$B$6),2)+ROUND(INDEX(Data[FY2026 Ed Services],MATCH(A126,Data[Label],0))*(1+$B$6),2))*G126</f>
        <v>221219.91</v>
      </c>
      <c r="K126" s="177">
        <f t="shared" si="9"/>
        <v>15330759.91</v>
      </c>
      <c r="L126" s="177">
        <f t="shared" si="10"/>
        <v>340194.91000000015</v>
      </c>
      <c r="M126" s="178">
        <f t="shared" si="11"/>
        <v>2.2693935151877207E-2</v>
      </c>
      <c r="N126" s="179">
        <f t="shared" si="6"/>
        <v>2.5</v>
      </c>
      <c r="O126" s="180">
        <f t="shared" si="7"/>
        <v>1.5718327569946558E-3</v>
      </c>
    </row>
    <row r="127" spans="1:15" x14ac:dyDescent="0.55000000000000004">
      <c r="A127" s="198" t="s">
        <v>120</v>
      </c>
      <c r="B127" s="181">
        <f>INDEX(Data[FY2026 Budget Enrollment],MATCH(A127,Data[Label],0))</f>
        <v>158.1</v>
      </c>
      <c r="C127" s="182">
        <f>INDEX(Data[FY2026 RPDC Total],MATCH(A127,Data[Label],0))+INDEX(Data[FY2026 RPDC Budget Guarantee],MATCH(A127,Data[Label],0))</f>
        <v>1282982</v>
      </c>
      <c r="D127" s="182">
        <f>'FY2027 Categoricals Report'!L127</f>
        <v>291927</v>
      </c>
      <c r="E127" s="182">
        <f>ROUND((INDEX(Data[FY2026 Media Services],MATCH(A127,Data[Label],0))+INDEX(Data[FY2026 Ed Services],MATCH(A127,Data[Label],0)))*B127,0)</f>
        <v>21897</v>
      </c>
      <c r="F127" s="194">
        <f t="shared" si="8"/>
        <v>1596806</v>
      </c>
      <c r="G127" s="243">
        <f>INDEX(Data[FY2027 Budget Enrollment],MATCH(A127,Data[Label],0))</f>
        <v>164</v>
      </c>
      <c r="H127" s="182">
        <f>'FY2027 RPDC Report'!K127</f>
        <v>1357100</v>
      </c>
      <c r="I127" s="182">
        <f>'FY2027 Categoricals Report'!W127</f>
        <v>306655</v>
      </c>
      <c r="J127" s="182">
        <f>(ROUND(INDEX(Data[FY2026 Media Services],MATCH(A127,Data[Label],0))*(1+$B$6),2)+ROUND(INDEX(Data[FY2026 Ed Services],MATCH(A127,Data[Label],0))*(1+$B$6),2))*G127</f>
        <v>23168.280000000002</v>
      </c>
      <c r="K127" s="182">
        <f t="shared" si="9"/>
        <v>1686923.28</v>
      </c>
      <c r="L127" s="182">
        <f t="shared" si="10"/>
        <v>90117.280000000028</v>
      </c>
      <c r="M127" s="178">
        <f t="shared" si="11"/>
        <v>5.6435960285720385E-2</v>
      </c>
      <c r="N127" s="184">
        <f t="shared" si="6"/>
        <v>5.9000000000000057</v>
      </c>
      <c r="O127" s="185">
        <f t="shared" si="7"/>
        <v>3.7318153067678723E-2</v>
      </c>
    </row>
    <row r="128" spans="1:15" x14ac:dyDescent="0.55000000000000004">
      <c r="A128" s="197" t="s">
        <v>121</v>
      </c>
      <c r="B128" s="176">
        <f>INDEX(Data[FY2026 Budget Enrollment],MATCH(A128,Data[Label],0))</f>
        <v>615.5</v>
      </c>
      <c r="C128" s="177">
        <f>INDEX(Data[FY2026 RPDC Total],MATCH(A128,Data[Label],0))+INDEX(Data[FY2026 RPDC Budget Guarantee],MATCH(A128,Data[Label],0))</f>
        <v>4953544</v>
      </c>
      <c r="D128" s="177">
        <f>'FY2027 Categoricals Report'!L128</f>
        <v>1067088</v>
      </c>
      <c r="E128" s="177">
        <f>ROUND((INDEX(Data[FY2026 Media Services],MATCH(A128,Data[Label],0))+INDEX(Data[FY2026 Ed Services],MATCH(A128,Data[Label],0)))*B128,0)</f>
        <v>84982</v>
      </c>
      <c r="F128" s="193">
        <f t="shared" si="8"/>
        <v>6105614</v>
      </c>
      <c r="G128" s="244">
        <f>INDEX(Data[FY2027 Budget Enrollment],MATCH(A128,Data[Label],0))</f>
        <v>657.9</v>
      </c>
      <c r="H128" s="177">
        <f>'FY2027 RPDC Report'!K128</f>
        <v>5400043.2000000002</v>
      </c>
      <c r="I128" s="177">
        <f>'FY2027 Categoricals Report'!W128</f>
        <v>1158179</v>
      </c>
      <c r="J128" s="177">
        <f>(ROUND(INDEX(Data[FY2026 Media Services],MATCH(A128,Data[Label],0))*(1+$B$6),2)+ROUND(INDEX(Data[FY2026 Ed Services],MATCH(A128,Data[Label],0))*(1+$B$6),2))*G128</f>
        <v>92658.635999999984</v>
      </c>
      <c r="K128" s="177">
        <f t="shared" si="9"/>
        <v>6650880.8360000001</v>
      </c>
      <c r="L128" s="177">
        <f t="shared" si="10"/>
        <v>545266.83600000013</v>
      </c>
      <c r="M128" s="178">
        <f t="shared" si="11"/>
        <v>8.9305815270994876E-2</v>
      </c>
      <c r="N128" s="179">
        <f t="shared" si="6"/>
        <v>42.399999999999977</v>
      </c>
      <c r="O128" s="180">
        <f t="shared" si="7"/>
        <v>6.8887083671811497E-2</v>
      </c>
    </row>
    <row r="129" spans="1:15" x14ac:dyDescent="0.55000000000000004">
      <c r="A129" s="198" t="s">
        <v>122</v>
      </c>
      <c r="B129" s="181">
        <f>INDEX(Data[FY2026 Budget Enrollment],MATCH(A129,Data[Label],0))</f>
        <v>1864.1</v>
      </c>
      <c r="C129" s="182">
        <f>INDEX(Data[FY2026 RPDC Total],MATCH(A129,Data[Label],0))+INDEX(Data[FY2026 RPDC Budget Guarantee],MATCH(A129,Data[Label],0))</f>
        <v>15243365</v>
      </c>
      <c r="D129" s="182">
        <f>'FY2027 Categoricals Report'!L129</f>
        <v>2576129</v>
      </c>
      <c r="E129" s="182">
        <f>ROUND((INDEX(Data[FY2026 Media Services],MATCH(A129,Data[Label],0))+INDEX(Data[FY2026 Ed Services],MATCH(A129,Data[Label],0)))*B129,0)</f>
        <v>255102</v>
      </c>
      <c r="F129" s="194">
        <f t="shared" si="8"/>
        <v>18074596</v>
      </c>
      <c r="G129" s="243">
        <f>INDEX(Data[FY2027 Budget Enrollment],MATCH(A129,Data[Label],0))</f>
        <v>1906</v>
      </c>
      <c r="H129" s="182">
        <f>'FY2027 RPDC Report'!K129</f>
        <v>15530088</v>
      </c>
      <c r="I129" s="182">
        <f>'FY2027 Categoricals Report'!W129</f>
        <v>2679653</v>
      </c>
      <c r="J129" s="182">
        <f>(ROUND(INDEX(Data[FY2026 Media Services],MATCH(A129,Data[Label],0))*(1+$B$6),2)+ROUND(INDEX(Data[FY2026 Ed Services],MATCH(A129,Data[Label],0))*(1+$B$6),2))*G129</f>
        <v>266058.53999999998</v>
      </c>
      <c r="K129" s="182">
        <f t="shared" si="9"/>
        <v>18475799.539999999</v>
      </c>
      <c r="L129" s="182">
        <f t="shared" si="10"/>
        <v>401203.53999999911</v>
      </c>
      <c r="M129" s="178">
        <f t="shared" si="11"/>
        <v>2.2197095857633506E-2</v>
      </c>
      <c r="N129" s="184">
        <f t="shared" si="6"/>
        <v>41.900000000000091</v>
      </c>
      <c r="O129" s="185">
        <f t="shared" si="7"/>
        <v>2.2477334906925644E-2</v>
      </c>
    </row>
    <row r="130" spans="1:15" x14ac:dyDescent="0.55000000000000004">
      <c r="A130" s="197" t="s">
        <v>123</v>
      </c>
      <c r="B130" s="176">
        <f>INDEX(Data[FY2026 Budget Enrollment],MATCH(A130,Data[Label],0))</f>
        <v>313.3</v>
      </c>
      <c r="C130" s="177">
        <f>INDEX(Data[FY2026 RPDC Total],MATCH(A130,Data[Label],0))+INDEX(Data[FY2026 RPDC Budget Guarantee],MATCH(A130,Data[Label],0))</f>
        <v>2502640</v>
      </c>
      <c r="D130" s="177">
        <f>'FY2027 Categoricals Report'!L130</f>
        <v>628851</v>
      </c>
      <c r="E130" s="177">
        <f>ROUND((INDEX(Data[FY2026 Media Services],MATCH(A130,Data[Label],0))+INDEX(Data[FY2026 Ed Services],MATCH(A130,Data[Label],0)))*B130,0)</f>
        <v>42653</v>
      </c>
      <c r="F130" s="193">
        <f t="shared" si="8"/>
        <v>3174144</v>
      </c>
      <c r="G130" s="244">
        <f>INDEX(Data[FY2027 Budget Enrollment],MATCH(A130,Data[Label],0))</f>
        <v>302.3</v>
      </c>
      <c r="H130" s="177">
        <f>'FY2027 RPDC Report'!K130</f>
        <v>2527666.4</v>
      </c>
      <c r="I130" s="177">
        <f>'FY2027 Categoricals Report'!W130</f>
        <v>644705</v>
      </c>
      <c r="J130" s="177">
        <f>(ROUND(INDEX(Data[FY2026 Media Services],MATCH(A130,Data[Label],0))*(1+$B$6),2)+ROUND(INDEX(Data[FY2026 Ed Services],MATCH(A130,Data[Label],0))*(1+$B$6),2))*G130</f>
        <v>41980.401000000005</v>
      </c>
      <c r="K130" s="177">
        <f t="shared" si="9"/>
        <v>3214351.801</v>
      </c>
      <c r="L130" s="177">
        <f t="shared" si="10"/>
        <v>40207.800999999978</v>
      </c>
      <c r="M130" s="178">
        <f t="shared" si="11"/>
        <v>1.2667289511754973E-2</v>
      </c>
      <c r="N130" s="179">
        <f t="shared" si="6"/>
        <v>-11</v>
      </c>
      <c r="O130" s="180">
        <f t="shared" si="7"/>
        <v>-3.5110118097669965E-2</v>
      </c>
    </row>
    <row r="131" spans="1:15" x14ac:dyDescent="0.55000000000000004">
      <c r="A131" s="198" t="s">
        <v>124</v>
      </c>
      <c r="B131" s="181">
        <f>INDEX(Data[FY2026 Budget Enrollment],MATCH(A131,Data[Label],0))</f>
        <v>376.3</v>
      </c>
      <c r="C131" s="182">
        <f>INDEX(Data[FY2026 RPDC Total],MATCH(A131,Data[Label],0))+INDEX(Data[FY2026 RPDC Budget Guarantee],MATCH(A131,Data[Label],0))</f>
        <v>3005884</v>
      </c>
      <c r="D131" s="182">
        <f>'FY2027 Categoricals Report'!L131</f>
        <v>692758</v>
      </c>
      <c r="E131" s="182">
        <f>ROUND((INDEX(Data[FY2026 Media Services],MATCH(A131,Data[Label],0))+INDEX(Data[FY2026 Ed Services],MATCH(A131,Data[Label],0)))*B131,0)</f>
        <v>52118</v>
      </c>
      <c r="F131" s="194">
        <f t="shared" si="8"/>
        <v>3750760</v>
      </c>
      <c r="G131" s="243">
        <f>INDEX(Data[FY2027 Budget Enrollment],MATCH(A131,Data[Label],0))</f>
        <v>376.5</v>
      </c>
      <c r="H131" s="182">
        <f>'FY2027 RPDC Report'!K131</f>
        <v>3067722</v>
      </c>
      <c r="I131" s="182">
        <f>'FY2027 Categoricals Report'!W131</f>
        <v>704383</v>
      </c>
      <c r="J131" s="182">
        <f>(ROUND(INDEX(Data[FY2026 Media Services],MATCH(A131,Data[Label],0))*(1+$B$6),2)+ROUND(INDEX(Data[FY2026 Ed Services],MATCH(A131,Data[Label],0))*(1+$B$6),2))*G131</f>
        <v>53188.155000000006</v>
      </c>
      <c r="K131" s="182">
        <f t="shared" si="9"/>
        <v>3825293.1550000003</v>
      </c>
      <c r="L131" s="182">
        <f t="shared" si="10"/>
        <v>74533.155000000261</v>
      </c>
      <c r="M131" s="178">
        <f t="shared" si="11"/>
        <v>1.9871480713242184E-2</v>
      </c>
      <c r="N131" s="184">
        <f t="shared" si="6"/>
        <v>0.19999999999998863</v>
      </c>
      <c r="O131" s="185">
        <f t="shared" si="7"/>
        <v>5.3149083178312146E-4</v>
      </c>
    </row>
    <row r="132" spans="1:15" x14ac:dyDescent="0.55000000000000004">
      <c r="A132" s="197" t="s">
        <v>125</v>
      </c>
      <c r="B132" s="176">
        <f>INDEX(Data[FY2026 Budget Enrollment],MATCH(A132,Data[Label],0))</f>
        <v>1199.2</v>
      </c>
      <c r="C132" s="177">
        <f>INDEX(Data[FY2026 RPDC Total],MATCH(A132,Data[Label],0))+INDEX(Data[FY2026 RPDC Budget Guarantee],MATCH(A132,Data[Label],0))</f>
        <v>9619982</v>
      </c>
      <c r="D132" s="177">
        <f>'FY2027 Categoricals Report'!L132</f>
        <v>1742922</v>
      </c>
      <c r="E132" s="177">
        <f>ROUND((INDEX(Data[FY2026 Media Services],MATCH(A132,Data[Label],0))+INDEX(Data[FY2026 Ed Services],MATCH(A132,Data[Label],0)))*B132,0)</f>
        <v>166089</v>
      </c>
      <c r="F132" s="193">
        <f t="shared" si="8"/>
        <v>11528993</v>
      </c>
      <c r="G132" s="244">
        <f>INDEX(Data[FY2027 Budget Enrollment],MATCH(A132,Data[Label],0))</f>
        <v>1173.2</v>
      </c>
      <c r="H132" s="177">
        <f>'FY2027 RPDC Report'!K132</f>
        <v>9716181.4000000004</v>
      </c>
      <c r="I132" s="177">
        <f>'FY2027 Categoricals Report'!W132</f>
        <v>1742922</v>
      </c>
      <c r="J132" s="177">
        <f>(ROUND(INDEX(Data[FY2026 Media Services],MATCH(A132,Data[Label],0))*(1+$B$6),2)+ROUND(INDEX(Data[FY2026 Ed Services],MATCH(A132,Data[Label],0))*(1+$B$6),2))*G132</f>
        <v>165737.96400000001</v>
      </c>
      <c r="K132" s="177">
        <f t="shared" si="9"/>
        <v>11624841.364</v>
      </c>
      <c r="L132" s="177">
        <f t="shared" si="10"/>
        <v>95848.36400000006</v>
      </c>
      <c r="M132" s="178">
        <f t="shared" si="11"/>
        <v>8.3136804749556238E-3</v>
      </c>
      <c r="N132" s="179">
        <f t="shared" si="6"/>
        <v>-26</v>
      </c>
      <c r="O132" s="180">
        <f t="shared" si="7"/>
        <v>-2.1681120747164776E-2</v>
      </c>
    </row>
    <row r="133" spans="1:15" x14ac:dyDescent="0.55000000000000004">
      <c r="A133" s="198" t="s">
        <v>126</v>
      </c>
      <c r="B133" s="181">
        <f>INDEX(Data[FY2026 Budget Enrollment],MATCH(A133,Data[Label],0))</f>
        <v>1502.2</v>
      </c>
      <c r="C133" s="182">
        <f>INDEX(Data[FY2026 RPDC Total],MATCH(A133,Data[Label],0))+INDEX(Data[FY2026 RPDC Budget Guarantee],MATCH(A133,Data[Label],0))</f>
        <v>11999574</v>
      </c>
      <c r="D133" s="182">
        <f>'FY2027 Categoricals Report'!L133</f>
        <v>2250746</v>
      </c>
      <c r="E133" s="182">
        <f>ROUND((INDEX(Data[FY2026 Media Services],MATCH(A133,Data[Label],0))+INDEX(Data[FY2026 Ed Services],MATCH(A133,Data[Label],0)))*B133,0)</f>
        <v>207409</v>
      </c>
      <c r="F133" s="194">
        <f t="shared" si="8"/>
        <v>14457729</v>
      </c>
      <c r="G133" s="243">
        <f>INDEX(Data[FY2027 Budget Enrollment],MATCH(A133,Data[Label],0))</f>
        <v>1467.7</v>
      </c>
      <c r="H133" s="182">
        <f>'FY2027 RPDC Report'!K133</f>
        <v>12119569.6</v>
      </c>
      <c r="I133" s="182">
        <f>'FY2027 Categoricals Report'!W133</f>
        <v>2254219</v>
      </c>
      <c r="J133" s="182">
        <f>(ROUND(INDEX(Data[FY2026 Media Services],MATCH(A133,Data[Label],0))*(1+$B$6),2)+ROUND(INDEX(Data[FY2026 Ed Services],MATCH(A133,Data[Label],0))*(1+$B$6),2))*G133</f>
        <v>206710.86799999996</v>
      </c>
      <c r="K133" s="182">
        <f t="shared" si="9"/>
        <v>14580499.467999998</v>
      </c>
      <c r="L133" s="182">
        <f t="shared" si="10"/>
        <v>122770.46799999848</v>
      </c>
      <c r="M133" s="178">
        <f t="shared" si="11"/>
        <v>8.4916841365610379E-3</v>
      </c>
      <c r="N133" s="184">
        <f t="shared" si="6"/>
        <v>-34.5</v>
      </c>
      <c r="O133" s="185">
        <f t="shared" si="7"/>
        <v>-2.2966316069764344E-2</v>
      </c>
    </row>
    <row r="134" spans="1:15" x14ac:dyDescent="0.55000000000000004">
      <c r="A134" s="197" t="s">
        <v>127</v>
      </c>
      <c r="B134" s="176">
        <f>INDEX(Data[FY2026 Budget Enrollment],MATCH(A134,Data[Label],0))</f>
        <v>443.1</v>
      </c>
      <c r="C134" s="177">
        <f>INDEX(Data[FY2026 RPDC Total],MATCH(A134,Data[Label],0))+INDEX(Data[FY2026 RPDC Budget Guarantee],MATCH(A134,Data[Label],0))</f>
        <v>3647517</v>
      </c>
      <c r="D134" s="177">
        <f>'FY2027 Categoricals Report'!L134</f>
        <v>852239</v>
      </c>
      <c r="E134" s="177">
        <f>ROUND((INDEX(Data[FY2026 Media Services],MATCH(A134,Data[Label],0))+INDEX(Data[FY2026 Ed Services],MATCH(A134,Data[Label],0)))*B134,0)</f>
        <v>60638</v>
      </c>
      <c r="F134" s="193">
        <f t="shared" si="8"/>
        <v>4560394</v>
      </c>
      <c r="G134" s="244">
        <f>INDEX(Data[FY2027 Budget Enrollment],MATCH(A134,Data[Label],0))</f>
        <v>415.6</v>
      </c>
      <c r="H134" s="177">
        <f>'FY2027 RPDC Report'!K134</f>
        <v>3586065.8000000003</v>
      </c>
      <c r="I134" s="177">
        <f>'FY2027 Categoricals Report'!W134</f>
        <v>848391</v>
      </c>
      <c r="J134" s="177">
        <f>(ROUND(INDEX(Data[FY2026 Media Services],MATCH(A134,Data[Label],0))*(1+$B$6),2)+ROUND(INDEX(Data[FY2026 Ed Services],MATCH(A134,Data[Label],0))*(1+$B$6),2))*G134</f>
        <v>58013.604000000007</v>
      </c>
      <c r="K134" s="177">
        <f t="shared" si="9"/>
        <v>4492470.4040000001</v>
      </c>
      <c r="L134" s="177">
        <f t="shared" si="10"/>
        <v>-67923.595999999903</v>
      </c>
      <c r="M134" s="178">
        <f t="shared" si="11"/>
        <v>-1.4894238524127499E-2</v>
      </c>
      <c r="N134" s="179">
        <f t="shared" si="6"/>
        <v>-27.5</v>
      </c>
      <c r="O134" s="180">
        <f t="shared" si="7"/>
        <v>-6.206273978785827E-2</v>
      </c>
    </row>
    <row r="135" spans="1:15" x14ac:dyDescent="0.55000000000000004">
      <c r="A135" s="198" t="s">
        <v>128</v>
      </c>
      <c r="B135" s="181">
        <f>INDEX(Data[FY2026 Budget Enrollment],MATCH(A135,Data[Label],0))</f>
        <v>681</v>
      </c>
      <c r="C135" s="182">
        <f>INDEX(Data[FY2026 RPDC Total],MATCH(A135,Data[Label],0))+INDEX(Data[FY2026 RPDC Budget Guarantee],MATCH(A135,Data[Label],0))</f>
        <v>5439828</v>
      </c>
      <c r="D135" s="182">
        <f>'FY2027 Categoricals Report'!L135</f>
        <v>1154476</v>
      </c>
      <c r="E135" s="182">
        <f>ROUND((INDEX(Data[FY2026 Media Services],MATCH(A135,Data[Label],0))+INDEX(Data[FY2026 Ed Services],MATCH(A135,Data[Label],0)))*B135,0)</f>
        <v>94026</v>
      </c>
      <c r="F135" s="194">
        <f t="shared" si="8"/>
        <v>6688330</v>
      </c>
      <c r="G135" s="243">
        <f>INDEX(Data[FY2027 Budget Enrollment],MATCH(A135,Data[Label],0))</f>
        <v>661.1</v>
      </c>
      <c r="H135" s="182">
        <f>'FY2027 RPDC Report'!K135</f>
        <v>5494225.7999999998</v>
      </c>
      <c r="I135" s="182">
        <f>'FY2027 Categoricals Report'!W135</f>
        <v>1154476</v>
      </c>
      <c r="J135" s="182">
        <f>(ROUND(INDEX(Data[FY2026 Media Services],MATCH(A135,Data[Label],0))*(1+$B$6),2)+ROUND(INDEX(Data[FY2026 Ed Services],MATCH(A135,Data[Label],0))*(1+$B$6),2))*G135</f>
        <v>93109.323999999993</v>
      </c>
      <c r="K135" s="182">
        <f t="shared" si="9"/>
        <v>6741811.1239999998</v>
      </c>
      <c r="L135" s="182">
        <f t="shared" si="10"/>
        <v>53481.123999999836</v>
      </c>
      <c r="M135" s="178">
        <f t="shared" si="11"/>
        <v>7.9961849968527027E-3</v>
      </c>
      <c r="N135" s="184">
        <f t="shared" si="6"/>
        <v>-19.899999999999977</v>
      </c>
      <c r="O135" s="185">
        <f t="shared" si="7"/>
        <v>-2.9221732745961789E-2</v>
      </c>
    </row>
    <row r="136" spans="1:15" x14ac:dyDescent="0.55000000000000004">
      <c r="A136" s="197" t="s">
        <v>129</v>
      </c>
      <c r="B136" s="176">
        <f>INDEX(Data[FY2026 Budget Enrollment],MATCH(A136,Data[Label],0))</f>
        <v>388.2</v>
      </c>
      <c r="C136" s="177">
        <f>INDEX(Data[FY2026 RPDC Total],MATCH(A136,Data[Label],0))+INDEX(Data[FY2026 RPDC Budget Guarantee],MATCH(A136,Data[Label],0))</f>
        <v>3125344</v>
      </c>
      <c r="D136" s="177">
        <f>'FY2027 Categoricals Report'!L136</f>
        <v>795500</v>
      </c>
      <c r="E136" s="177">
        <f>ROUND((INDEX(Data[FY2026 Media Services],MATCH(A136,Data[Label],0))+INDEX(Data[FY2026 Ed Services],MATCH(A136,Data[Label],0)))*B136,0)</f>
        <v>52850</v>
      </c>
      <c r="F136" s="193">
        <f t="shared" si="8"/>
        <v>3973694</v>
      </c>
      <c r="G136" s="244">
        <f>INDEX(Data[FY2027 Budget Enrollment],MATCH(A136,Data[Label],0))</f>
        <v>384.9</v>
      </c>
      <c r="H136" s="177">
        <f>'FY2027 RPDC Report'!K136</f>
        <v>3136165.1999999997</v>
      </c>
      <c r="I136" s="177">
        <f>'FY2027 Categoricals Report'!W136</f>
        <v>798222</v>
      </c>
      <c r="J136" s="177">
        <f>(ROUND(INDEX(Data[FY2026 Media Services],MATCH(A136,Data[Label],0))*(1+$B$6),2)+ROUND(INDEX(Data[FY2026 Ed Services],MATCH(A136,Data[Label],0))*(1+$B$6),2))*G136</f>
        <v>53451.063000000002</v>
      </c>
      <c r="K136" s="177">
        <f t="shared" si="9"/>
        <v>3987838.2629999998</v>
      </c>
      <c r="L136" s="177">
        <f t="shared" si="10"/>
        <v>14144.262999999803</v>
      </c>
      <c r="M136" s="178">
        <f t="shared" si="11"/>
        <v>3.5594746349366111E-3</v>
      </c>
      <c r="N136" s="179">
        <f t="shared" si="6"/>
        <v>-3.3000000000000114</v>
      </c>
      <c r="O136" s="180">
        <f t="shared" si="7"/>
        <v>-8.5007727975270776E-3</v>
      </c>
    </row>
    <row r="137" spans="1:15" x14ac:dyDescent="0.55000000000000004">
      <c r="A137" s="198" t="s">
        <v>130</v>
      </c>
      <c r="B137" s="181">
        <f>INDEX(Data[FY2026 Budget Enrollment],MATCH(A137,Data[Label],0))</f>
        <v>308</v>
      </c>
      <c r="C137" s="182">
        <f>INDEX(Data[FY2026 RPDC Total],MATCH(A137,Data[Label],0))+INDEX(Data[FY2026 RPDC Budget Guarantee],MATCH(A137,Data[Label],0))</f>
        <v>2516898</v>
      </c>
      <c r="D137" s="182">
        <f>'FY2027 Categoricals Report'!L137</f>
        <v>597042</v>
      </c>
      <c r="E137" s="182">
        <f>ROUND((INDEX(Data[FY2026 Media Services],MATCH(A137,Data[Label],0))+INDEX(Data[FY2026 Ed Services],MATCH(A137,Data[Label],0)))*B137,0)</f>
        <v>42024</v>
      </c>
      <c r="F137" s="194">
        <f t="shared" si="8"/>
        <v>3155964</v>
      </c>
      <c r="G137" s="243">
        <f>INDEX(Data[FY2027 Budget Enrollment],MATCH(A137,Data[Label],0))</f>
        <v>308</v>
      </c>
      <c r="H137" s="182">
        <f>'FY2027 RPDC Report'!K137</f>
        <v>2528064</v>
      </c>
      <c r="I137" s="182">
        <f>'FY2027 Categoricals Report'!W137</f>
        <v>609738</v>
      </c>
      <c r="J137" s="182">
        <f>(ROUND(INDEX(Data[FY2026 Media Services],MATCH(A137,Data[Label],0))*(1+$B$6),2)+ROUND(INDEX(Data[FY2026 Ed Services],MATCH(A137,Data[Label],0))*(1+$B$6),2))*G137</f>
        <v>42864.360000000008</v>
      </c>
      <c r="K137" s="182">
        <f t="shared" si="9"/>
        <v>3180666.36</v>
      </c>
      <c r="L137" s="182">
        <f t="shared" si="10"/>
        <v>24702.35999999987</v>
      </c>
      <c r="M137" s="178">
        <f t="shared" si="11"/>
        <v>7.8271995498047087E-3</v>
      </c>
      <c r="N137" s="184">
        <f t="shared" si="6"/>
        <v>0</v>
      </c>
      <c r="O137" s="185">
        <f t="shared" si="7"/>
        <v>0</v>
      </c>
    </row>
    <row r="138" spans="1:15" x14ac:dyDescent="0.55000000000000004">
      <c r="A138" s="197" t="s">
        <v>131</v>
      </c>
      <c r="B138" s="176">
        <f>INDEX(Data[FY2026 Budget Enrollment],MATCH(A138,Data[Label],0))</f>
        <v>203</v>
      </c>
      <c r="C138" s="177">
        <f>INDEX(Data[FY2026 RPDC Total],MATCH(A138,Data[Label],0))+INDEX(Data[FY2026 RPDC Budget Guarantee],MATCH(A138,Data[Label],0))</f>
        <v>1666355</v>
      </c>
      <c r="D138" s="177">
        <f>'FY2027 Categoricals Report'!L138</f>
        <v>420200</v>
      </c>
      <c r="E138" s="177">
        <f>ROUND((INDEX(Data[FY2026 Media Services],MATCH(A138,Data[Label],0))+INDEX(Data[FY2026 Ed Services],MATCH(A138,Data[Label],0)))*B138,0)</f>
        <v>27781</v>
      </c>
      <c r="F138" s="193">
        <f t="shared" si="8"/>
        <v>2114336</v>
      </c>
      <c r="G138" s="244">
        <f>INDEX(Data[FY2027 Budget Enrollment],MATCH(A138,Data[Label],0))</f>
        <v>215</v>
      </c>
      <c r="H138" s="177">
        <f>'FY2027 RPDC Report'!K138</f>
        <v>1773535</v>
      </c>
      <c r="I138" s="177">
        <f>'FY2027 Categoricals Report'!W138</f>
        <v>449838</v>
      </c>
      <c r="J138" s="177">
        <f>(ROUND(INDEX(Data[FY2026 Media Services],MATCH(A138,Data[Label],0))*(1+$B$6),2)+ROUND(INDEX(Data[FY2026 Ed Services],MATCH(A138,Data[Label],0))*(1+$B$6),2))*G138</f>
        <v>30011.850000000002</v>
      </c>
      <c r="K138" s="177">
        <f t="shared" si="9"/>
        <v>2253384.85</v>
      </c>
      <c r="L138" s="177">
        <f t="shared" si="10"/>
        <v>139048.85000000009</v>
      </c>
      <c r="M138" s="178">
        <f t="shared" si="11"/>
        <v>6.5764783837573643E-2</v>
      </c>
      <c r="N138" s="179">
        <f t="shared" ref="N138:N201" si="12">G138-B138</f>
        <v>12</v>
      </c>
      <c r="O138" s="180">
        <f t="shared" ref="O138:O201" si="13">N138/B138</f>
        <v>5.9113300492610835E-2</v>
      </c>
    </row>
    <row r="139" spans="1:15" x14ac:dyDescent="0.55000000000000004">
      <c r="A139" s="198" t="s">
        <v>132</v>
      </c>
      <c r="B139" s="181">
        <f>INDEX(Data[FY2026 Budget Enrollment],MATCH(A139,Data[Label],0))</f>
        <v>1087.8</v>
      </c>
      <c r="C139" s="182">
        <f>INDEX(Data[FY2026 RPDC Total],MATCH(A139,Data[Label],0))+INDEX(Data[FY2026 RPDC Budget Guarantee],MATCH(A139,Data[Label],0))</f>
        <v>8689346</v>
      </c>
      <c r="D139" s="182">
        <f>'FY2027 Categoricals Report'!L139</f>
        <v>1575443</v>
      </c>
      <c r="E139" s="182">
        <f>ROUND((INDEX(Data[FY2026 Media Services],MATCH(A139,Data[Label],0))+INDEX(Data[FY2026 Ed Services],MATCH(A139,Data[Label],0)))*B139,0)</f>
        <v>150193</v>
      </c>
      <c r="F139" s="194">
        <f t="shared" ref="F139:F202" si="14">E139+D139+C139</f>
        <v>10414982</v>
      </c>
      <c r="G139" s="243">
        <f>INDEX(Data[FY2027 Budget Enrollment],MATCH(A139,Data[Label],0))</f>
        <v>1044.5</v>
      </c>
      <c r="H139" s="182">
        <f>'FY2027 RPDC Report'!K139</f>
        <v>8776239</v>
      </c>
      <c r="I139" s="182">
        <f>'FY2027 Categoricals Report'!W139</f>
        <v>1575443</v>
      </c>
      <c r="J139" s="182">
        <f>(ROUND(INDEX(Data[FY2026 Media Services],MATCH(A139,Data[Label],0))*(1+$B$6),2)+ROUND(INDEX(Data[FY2026 Ed Services],MATCH(A139,Data[Label],0))*(1+$B$6),2))*G139</f>
        <v>147107.37999999998</v>
      </c>
      <c r="K139" s="182">
        <f t="shared" ref="K139:K202" si="15">I139+J139+H139</f>
        <v>10498789.379999999</v>
      </c>
      <c r="L139" s="182">
        <f t="shared" ref="L139:L202" si="16">K139-F139</f>
        <v>83807.379999998957</v>
      </c>
      <c r="M139" s="178">
        <f t="shared" ref="M139:M202" si="17">L139/F139</f>
        <v>8.0468098744672784E-3</v>
      </c>
      <c r="N139" s="184">
        <f t="shared" si="12"/>
        <v>-43.299999999999955</v>
      </c>
      <c r="O139" s="185">
        <f t="shared" si="13"/>
        <v>-3.9805111233682619E-2</v>
      </c>
    </row>
    <row r="140" spans="1:15" x14ac:dyDescent="0.55000000000000004">
      <c r="A140" s="197" t="s">
        <v>133</v>
      </c>
      <c r="B140" s="176">
        <f>INDEX(Data[FY2026 Budget Enrollment],MATCH(A140,Data[Label],0))</f>
        <v>1346.7</v>
      </c>
      <c r="C140" s="177">
        <f>INDEX(Data[FY2026 RPDC Total],MATCH(A140,Data[Label],0))+INDEX(Data[FY2026 RPDC Budget Guarantee],MATCH(A140,Data[Label],0))</f>
        <v>10789881</v>
      </c>
      <c r="D140" s="177">
        <f>'FY2027 Categoricals Report'!L140</f>
        <v>1931624</v>
      </c>
      <c r="E140" s="177">
        <f>ROUND((INDEX(Data[FY2026 Media Services],MATCH(A140,Data[Label],0))+INDEX(Data[FY2026 Ed Services],MATCH(A140,Data[Label],0)))*B140,0)</f>
        <v>184296</v>
      </c>
      <c r="F140" s="193">
        <f t="shared" si="14"/>
        <v>12905801</v>
      </c>
      <c r="G140" s="244">
        <f>INDEX(Data[FY2027 Budget Enrollment],MATCH(A140,Data[Label],0))</f>
        <v>1292.0999999999999</v>
      </c>
      <c r="H140" s="177">
        <f>'FY2027 RPDC Report'!K140</f>
        <v>10865014.799999999</v>
      </c>
      <c r="I140" s="177">
        <f>'FY2027 Categoricals Report'!W140</f>
        <v>1931624</v>
      </c>
      <c r="J140" s="177">
        <f>(ROUND(INDEX(Data[FY2026 Media Services],MATCH(A140,Data[Label],0))*(1+$B$6),2)+ROUND(INDEX(Data[FY2026 Ed Services],MATCH(A140,Data[Label],0))*(1+$B$6),2))*G140</f>
        <v>180364.239</v>
      </c>
      <c r="K140" s="177">
        <f t="shared" si="15"/>
        <v>12977003.038999999</v>
      </c>
      <c r="L140" s="177">
        <f t="shared" si="16"/>
        <v>71202.038999998942</v>
      </c>
      <c r="M140" s="178">
        <f t="shared" si="17"/>
        <v>5.5170569420680627E-3</v>
      </c>
      <c r="N140" s="179">
        <f t="shared" si="12"/>
        <v>-54.600000000000136</v>
      </c>
      <c r="O140" s="180">
        <f t="shared" si="13"/>
        <v>-4.0543550902205489E-2</v>
      </c>
    </row>
    <row r="141" spans="1:15" x14ac:dyDescent="0.55000000000000004">
      <c r="A141" s="198" t="s">
        <v>134</v>
      </c>
      <c r="B141" s="181">
        <f>INDEX(Data[FY2026 Budget Enrollment],MATCH(A141,Data[Label],0))</f>
        <v>299</v>
      </c>
      <c r="C141" s="182">
        <f>INDEX(Data[FY2026 RPDC Total],MATCH(A141,Data[Label],0))+INDEX(Data[FY2026 RPDC Budget Guarantee],MATCH(A141,Data[Label],0))</f>
        <v>2397681</v>
      </c>
      <c r="D141" s="182">
        <f>'FY2027 Categoricals Report'!L141</f>
        <v>672487</v>
      </c>
      <c r="E141" s="182">
        <f>ROUND((INDEX(Data[FY2026 Media Services],MATCH(A141,Data[Label],0))+INDEX(Data[FY2026 Ed Services],MATCH(A141,Data[Label],0)))*B141,0)</f>
        <v>41412</v>
      </c>
      <c r="F141" s="194">
        <f t="shared" si="14"/>
        <v>3111580</v>
      </c>
      <c r="G141" s="243">
        <f>INDEX(Data[FY2027 Budget Enrollment],MATCH(A141,Data[Label],0))</f>
        <v>284</v>
      </c>
      <c r="H141" s="182">
        <f>'FY2027 RPDC Report'!K141</f>
        <v>2421658</v>
      </c>
      <c r="I141" s="182">
        <f>'FY2027 Categoricals Report'!W141</f>
        <v>672487</v>
      </c>
      <c r="J141" s="182">
        <f>(ROUND(INDEX(Data[FY2026 Media Services],MATCH(A141,Data[Label],0))*(1+$B$6),2)+ROUND(INDEX(Data[FY2026 Ed Services],MATCH(A141,Data[Label],0))*(1+$B$6),2))*G141</f>
        <v>40120.68</v>
      </c>
      <c r="K141" s="182">
        <f t="shared" si="15"/>
        <v>3134265.68</v>
      </c>
      <c r="L141" s="182">
        <f t="shared" si="16"/>
        <v>22685.680000000168</v>
      </c>
      <c r="M141" s="178">
        <f t="shared" si="17"/>
        <v>7.2907268975890603E-3</v>
      </c>
      <c r="N141" s="184">
        <f t="shared" si="12"/>
        <v>-15</v>
      </c>
      <c r="O141" s="185">
        <f t="shared" si="13"/>
        <v>-5.016722408026756E-2</v>
      </c>
    </row>
    <row r="142" spans="1:15" x14ac:dyDescent="0.55000000000000004">
      <c r="A142" s="197" t="s">
        <v>135</v>
      </c>
      <c r="B142" s="176">
        <f>INDEX(Data[FY2026 Budget Enrollment],MATCH(A142,Data[Label],0))</f>
        <v>633.1</v>
      </c>
      <c r="C142" s="177">
        <f>INDEX(Data[FY2026 RPDC Total],MATCH(A142,Data[Label],0))+INDEX(Data[FY2026 RPDC Budget Guarantee],MATCH(A142,Data[Label],0))</f>
        <v>5061635</v>
      </c>
      <c r="D142" s="177">
        <f>'FY2027 Categoricals Report'!L142</f>
        <v>1242856</v>
      </c>
      <c r="E142" s="177">
        <f>ROUND((INDEX(Data[FY2026 Media Services],MATCH(A142,Data[Label],0))+INDEX(Data[FY2026 Ed Services],MATCH(A142,Data[Label],0)))*B142,0)</f>
        <v>87577</v>
      </c>
      <c r="F142" s="193">
        <f t="shared" si="14"/>
        <v>6392068</v>
      </c>
      <c r="G142" s="244">
        <f>INDEX(Data[FY2027 Budget Enrollment],MATCH(A142,Data[Label],0))</f>
        <v>606.1</v>
      </c>
      <c r="H142" s="177">
        <f>'FY2027 RPDC Report'!K142</f>
        <v>5112251.5</v>
      </c>
      <c r="I142" s="177">
        <f>'FY2027 Categoricals Report'!W142</f>
        <v>1248098</v>
      </c>
      <c r="J142" s="177">
        <f>(ROUND(INDEX(Data[FY2026 Media Services],MATCH(A142,Data[Label],0))*(1+$B$6),2)+ROUND(INDEX(Data[FY2026 Ed Services],MATCH(A142,Data[Label],0))*(1+$B$6),2))*G142</f>
        <v>85520.71</v>
      </c>
      <c r="K142" s="177">
        <f t="shared" si="15"/>
        <v>6445870.21</v>
      </c>
      <c r="L142" s="177">
        <f t="shared" si="16"/>
        <v>53802.209999999963</v>
      </c>
      <c r="M142" s="178">
        <f t="shared" si="17"/>
        <v>8.4170271655432897E-3</v>
      </c>
      <c r="N142" s="179">
        <f t="shared" si="12"/>
        <v>-27</v>
      </c>
      <c r="O142" s="180">
        <f t="shared" si="13"/>
        <v>-4.2647291107250039E-2</v>
      </c>
    </row>
    <row r="143" spans="1:15" x14ac:dyDescent="0.55000000000000004">
      <c r="A143" s="198" t="s">
        <v>136</v>
      </c>
      <c r="B143" s="181">
        <f>INDEX(Data[FY2026 Budget Enrollment],MATCH(A143,Data[Label],0))</f>
        <v>553.79999999999995</v>
      </c>
      <c r="C143" s="182">
        <f>INDEX(Data[FY2026 RPDC Total],MATCH(A143,Data[Label],0))+INDEX(Data[FY2026 RPDC Budget Guarantee],MATCH(A143,Data[Label],0))</f>
        <v>4657190</v>
      </c>
      <c r="D143" s="182">
        <f>'FY2027 Categoricals Report'!L143</f>
        <v>1039332</v>
      </c>
      <c r="E143" s="182">
        <f>ROUND((INDEX(Data[FY2026 Media Services],MATCH(A143,Data[Label],0))+INDEX(Data[FY2026 Ed Services],MATCH(A143,Data[Label],0)))*B143,0)</f>
        <v>75560</v>
      </c>
      <c r="F143" s="194">
        <f t="shared" si="14"/>
        <v>5772082</v>
      </c>
      <c r="G143" s="243">
        <f>INDEX(Data[FY2027 Budget Enrollment],MATCH(A143,Data[Label],0))</f>
        <v>563.70000000000005</v>
      </c>
      <c r="H143" s="182">
        <f>'FY2027 RPDC Report'!K143</f>
        <v>4593027.6000000006</v>
      </c>
      <c r="I143" s="182">
        <f>'FY2027 Categoricals Report'!W143</f>
        <v>1079726</v>
      </c>
      <c r="J143" s="182">
        <f>(ROUND(INDEX(Data[FY2026 Media Services],MATCH(A143,Data[Label],0))*(1+$B$6),2)+ROUND(INDEX(Data[FY2026 Ed Services],MATCH(A143,Data[Label],0))*(1+$B$6),2))*G143</f>
        <v>78450.129000000015</v>
      </c>
      <c r="K143" s="182">
        <f t="shared" si="15"/>
        <v>5751203.7290000003</v>
      </c>
      <c r="L143" s="182">
        <f t="shared" si="16"/>
        <v>-20878.270999999717</v>
      </c>
      <c r="M143" s="178">
        <f t="shared" si="17"/>
        <v>-3.6171126813513248E-3</v>
      </c>
      <c r="N143" s="184">
        <f t="shared" si="12"/>
        <v>9.9000000000000909</v>
      </c>
      <c r="O143" s="185">
        <f t="shared" si="13"/>
        <v>1.7876489707475789E-2</v>
      </c>
    </row>
    <row r="144" spans="1:15" x14ac:dyDescent="0.55000000000000004">
      <c r="A144" s="197" t="s">
        <v>137</v>
      </c>
      <c r="B144" s="176">
        <f>INDEX(Data[FY2026 Budget Enrollment],MATCH(A144,Data[Label],0))</f>
        <v>572.29999999999995</v>
      </c>
      <c r="C144" s="177">
        <f>INDEX(Data[FY2026 RPDC Total],MATCH(A144,Data[Label],0))+INDEX(Data[FY2026 RPDC Budget Guarantee],MATCH(A144,Data[Label],0))</f>
        <v>4571532</v>
      </c>
      <c r="D144" s="177">
        <f>'FY2027 Categoricals Report'!L144</f>
        <v>890778</v>
      </c>
      <c r="E144" s="177">
        <f>ROUND((INDEX(Data[FY2026 Media Services],MATCH(A144,Data[Label],0))+INDEX(Data[FY2026 Ed Services],MATCH(A144,Data[Label],0)))*B144,0)</f>
        <v>79166</v>
      </c>
      <c r="F144" s="193">
        <f t="shared" si="14"/>
        <v>5541476</v>
      </c>
      <c r="G144" s="244">
        <f>INDEX(Data[FY2027 Budget Enrollment],MATCH(A144,Data[Label],0))</f>
        <v>559.70000000000005</v>
      </c>
      <c r="H144" s="177">
        <f>'FY2027 RPDC Report'!K144</f>
        <v>4617247.6000000006</v>
      </c>
      <c r="I144" s="177">
        <f>'FY2027 Categoricals Report'!W144</f>
        <v>892368</v>
      </c>
      <c r="J144" s="177">
        <f>(ROUND(INDEX(Data[FY2026 Media Services],MATCH(A144,Data[Label],0))*(1+$B$6),2)+ROUND(INDEX(Data[FY2026 Ed Services],MATCH(A144,Data[Label],0))*(1+$B$6),2))*G144</f>
        <v>78973.67</v>
      </c>
      <c r="K144" s="177">
        <f t="shared" si="15"/>
        <v>5588589.2700000005</v>
      </c>
      <c r="L144" s="177">
        <f t="shared" si="16"/>
        <v>47113.270000000484</v>
      </c>
      <c r="M144" s="178">
        <f t="shared" si="17"/>
        <v>8.5019352244781864E-3</v>
      </c>
      <c r="N144" s="179">
        <f t="shared" si="12"/>
        <v>-12.599999999999909</v>
      </c>
      <c r="O144" s="180">
        <f t="shared" si="13"/>
        <v>-2.2016424951948121E-2</v>
      </c>
    </row>
    <row r="145" spans="1:15" x14ac:dyDescent="0.55000000000000004">
      <c r="A145" s="198" t="s">
        <v>138</v>
      </c>
      <c r="B145" s="181">
        <f>INDEX(Data[FY2026 Budget Enrollment],MATCH(A145,Data[Label],0))</f>
        <v>1147</v>
      </c>
      <c r="C145" s="182">
        <f>INDEX(Data[FY2026 RPDC Total],MATCH(A145,Data[Label],0))+INDEX(Data[FY2026 RPDC Budget Guarantee],MATCH(A145,Data[Label],0))</f>
        <v>9257437</v>
      </c>
      <c r="D145" s="182">
        <f>'FY2027 Categoricals Report'!L145</f>
        <v>1808609</v>
      </c>
      <c r="E145" s="182">
        <f>ROUND((INDEX(Data[FY2026 Media Services],MATCH(A145,Data[Label],0))+INDEX(Data[FY2026 Ed Services],MATCH(A145,Data[Label],0)))*B145,0)</f>
        <v>158229</v>
      </c>
      <c r="F145" s="194">
        <f t="shared" si="14"/>
        <v>11224275</v>
      </c>
      <c r="G145" s="243">
        <f>INDEX(Data[FY2027 Budget Enrollment],MATCH(A145,Data[Label],0))</f>
        <v>1124.3</v>
      </c>
      <c r="H145" s="182">
        <f>'FY2027 RPDC Report'!K145</f>
        <v>9350011.2999999989</v>
      </c>
      <c r="I145" s="182">
        <f>'FY2027 Categoricals Report'!W145</f>
        <v>1875200</v>
      </c>
      <c r="J145" s="182">
        <f>(ROUND(INDEX(Data[FY2026 Media Services],MATCH(A145,Data[Label],0))*(1+$B$6),2)+ROUND(INDEX(Data[FY2026 Ed Services],MATCH(A145,Data[Label],0))*(1+$B$6),2))*G145</f>
        <v>158200.25299999997</v>
      </c>
      <c r="K145" s="182">
        <f t="shared" si="15"/>
        <v>11383411.552999999</v>
      </c>
      <c r="L145" s="182">
        <f t="shared" si="16"/>
        <v>159136.55299999937</v>
      </c>
      <c r="M145" s="178">
        <f t="shared" si="17"/>
        <v>1.4177891489650724E-2</v>
      </c>
      <c r="N145" s="184">
        <f t="shared" si="12"/>
        <v>-22.700000000000045</v>
      </c>
      <c r="O145" s="185">
        <f t="shared" si="13"/>
        <v>-1.9790758500435959E-2</v>
      </c>
    </row>
    <row r="146" spans="1:15" x14ac:dyDescent="0.55000000000000004">
      <c r="A146" s="197" t="s">
        <v>139</v>
      </c>
      <c r="B146" s="176">
        <f>INDEX(Data[FY2026 Budget Enrollment],MATCH(A146,Data[Label],0))</f>
        <v>408.3</v>
      </c>
      <c r="C146" s="177">
        <f>INDEX(Data[FY2026 RPDC Total],MATCH(A146,Data[Label],0))+INDEX(Data[FY2026 RPDC Budget Guarantee],MATCH(A146,Data[Label],0))</f>
        <v>3290898</v>
      </c>
      <c r="D146" s="177">
        <f>'FY2027 Categoricals Report'!L146</f>
        <v>677529</v>
      </c>
      <c r="E146" s="177">
        <f>ROUND((INDEX(Data[FY2026 Media Services],MATCH(A146,Data[Label],0))+INDEX(Data[FY2026 Ed Services],MATCH(A146,Data[Label],0)))*B146,0)</f>
        <v>56374</v>
      </c>
      <c r="F146" s="193">
        <f t="shared" si="14"/>
        <v>4024801</v>
      </c>
      <c r="G146" s="244">
        <f>INDEX(Data[FY2027 Budget Enrollment],MATCH(A146,Data[Label],0))</f>
        <v>388.4</v>
      </c>
      <c r="H146" s="177">
        <f>'FY2027 RPDC Report'!K146</f>
        <v>3323807</v>
      </c>
      <c r="I146" s="177">
        <f>'FY2027 Categoricals Report'!W146</f>
        <v>677529</v>
      </c>
      <c r="J146" s="177">
        <f>(ROUND(INDEX(Data[FY2026 Media Services],MATCH(A146,Data[Label],0))*(1+$B$6),2)+ROUND(INDEX(Data[FY2026 Ed Services],MATCH(A146,Data[Label],0))*(1+$B$6),2))*G146</f>
        <v>54702.255999999987</v>
      </c>
      <c r="K146" s="177">
        <f t="shared" si="15"/>
        <v>4056038.2560000001</v>
      </c>
      <c r="L146" s="177">
        <f t="shared" si="16"/>
        <v>31237.256000000052</v>
      </c>
      <c r="M146" s="178">
        <f t="shared" si="17"/>
        <v>7.7611926651777446E-3</v>
      </c>
      <c r="N146" s="179">
        <f t="shared" si="12"/>
        <v>-19.900000000000034</v>
      </c>
      <c r="O146" s="180">
        <f t="shared" si="13"/>
        <v>-4.873867254469761E-2</v>
      </c>
    </row>
    <row r="147" spans="1:15" x14ac:dyDescent="0.55000000000000004">
      <c r="A147" s="198" t="s">
        <v>140</v>
      </c>
      <c r="B147" s="181">
        <f>INDEX(Data[FY2026 Budget Enrollment],MATCH(A147,Data[Label],0))</f>
        <v>776.5</v>
      </c>
      <c r="C147" s="182">
        <f>INDEX(Data[FY2026 RPDC Total],MATCH(A147,Data[Label],0))+INDEX(Data[FY2026 RPDC Budget Guarantee],MATCH(A147,Data[Label],0))</f>
        <v>6307510</v>
      </c>
      <c r="D147" s="182">
        <f>'FY2027 Categoricals Report'!L147</f>
        <v>1167755</v>
      </c>
      <c r="E147" s="182">
        <f>ROUND((INDEX(Data[FY2026 Media Services],MATCH(A147,Data[Label],0))+INDEX(Data[FY2026 Ed Services],MATCH(A147,Data[Label],0)))*B147,0)</f>
        <v>107211</v>
      </c>
      <c r="F147" s="194">
        <f t="shared" si="14"/>
        <v>7582476</v>
      </c>
      <c r="G147" s="243">
        <f>INDEX(Data[FY2027 Budget Enrollment],MATCH(A147,Data[Label],0))</f>
        <v>767.9</v>
      </c>
      <c r="H147" s="182">
        <f>'FY2027 RPDC Report'!K147</f>
        <v>6370584.7000000002</v>
      </c>
      <c r="I147" s="182">
        <f>'FY2027 Categoricals Report'!W147</f>
        <v>1192249</v>
      </c>
      <c r="J147" s="182">
        <f>(ROUND(INDEX(Data[FY2026 Media Services],MATCH(A147,Data[Label],0))*(1+$B$6),2)+ROUND(INDEX(Data[FY2026 Ed Services],MATCH(A147,Data[Label],0))*(1+$B$6),2))*G147</f>
        <v>108151.03599999998</v>
      </c>
      <c r="K147" s="182">
        <f t="shared" si="15"/>
        <v>7670984.7360000005</v>
      </c>
      <c r="L147" s="182">
        <f t="shared" si="16"/>
        <v>88508.736000000499</v>
      </c>
      <c r="M147" s="178">
        <f t="shared" si="17"/>
        <v>1.1672801338243669E-2</v>
      </c>
      <c r="N147" s="184">
        <f t="shared" si="12"/>
        <v>-8.6000000000000227</v>
      </c>
      <c r="O147" s="185">
        <f t="shared" si="13"/>
        <v>-1.1075338055376719E-2</v>
      </c>
    </row>
    <row r="148" spans="1:15" x14ac:dyDescent="0.55000000000000004">
      <c r="A148" s="197" t="s">
        <v>141</v>
      </c>
      <c r="B148" s="176">
        <f>INDEX(Data[FY2026 Budget Enrollment],MATCH(A148,Data[Label],0))</f>
        <v>1199.2</v>
      </c>
      <c r="C148" s="177">
        <f>INDEX(Data[FY2026 RPDC Total],MATCH(A148,Data[Label],0))+INDEX(Data[FY2026 RPDC Budget Guarantee],MATCH(A148,Data[Label],0))</f>
        <v>9601304</v>
      </c>
      <c r="D148" s="177">
        <f>'FY2027 Categoricals Report'!L148</f>
        <v>2012786</v>
      </c>
      <c r="E148" s="177">
        <f>ROUND((INDEX(Data[FY2026 Media Services],MATCH(A148,Data[Label],0))+INDEX(Data[FY2026 Ed Services],MATCH(A148,Data[Label],0)))*B148,0)</f>
        <v>166089</v>
      </c>
      <c r="F148" s="193">
        <f t="shared" si="14"/>
        <v>11780179</v>
      </c>
      <c r="G148" s="244">
        <f>INDEX(Data[FY2027 Budget Enrollment],MATCH(A148,Data[Label],0))</f>
        <v>1166</v>
      </c>
      <c r="H148" s="177">
        <f>'FY2027 RPDC Report'!K148</f>
        <v>9675002</v>
      </c>
      <c r="I148" s="177">
        <f>'FY2027 Categoricals Report'!W148</f>
        <v>2049205</v>
      </c>
      <c r="J148" s="177">
        <f>(ROUND(INDEX(Data[FY2026 Media Services],MATCH(A148,Data[Label],0))*(1+$B$6),2)+ROUND(INDEX(Data[FY2026 Ed Services],MATCH(A148,Data[Label],0))*(1+$B$6),2))*G148</f>
        <v>164720.82</v>
      </c>
      <c r="K148" s="177">
        <f t="shared" si="15"/>
        <v>11888927.82</v>
      </c>
      <c r="L148" s="177">
        <f t="shared" si="16"/>
        <v>108748.8200000003</v>
      </c>
      <c r="M148" s="178">
        <f t="shared" si="17"/>
        <v>9.231508281835131E-3</v>
      </c>
      <c r="N148" s="179">
        <f t="shared" si="12"/>
        <v>-33.200000000000045</v>
      </c>
      <c r="O148" s="180">
        <f t="shared" si="13"/>
        <v>-2.7685123415610444E-2</v>
      </c>
    </row>
    <row r="149" spans="1:15" x14ac:dyDescent="0.55000000000000004">
      <c r="A149" s="198" t="s">
        <v>142</v>
      </c>
      <c r="B149" s="181">
        <f>INDEX(Data[FY2026 Budget Enrollment],MATCH(A149,Data[Label],0))</f>
        <v>674.7</v>
      </c>
      <c r="C149" s="182">
        <f>INDEX(Data[FY2026 RPDC Total],MATCH(A149,Data[Label],0))+INDEX(Data[FY2026 RPDC Budget Guarantee],MATCH(A149,Data[Label],0))</f>
        <v>5430660</v>
      </c>
      <c r="D149" s="182">
        <f>'FY2027 Categoricals Report'!L149</f>
        <v>1061597</v>
      </c>
      <c r="E149" s="182">
        <f>ROUND((INDEX(Data[FY2026 Media Services],MATCH(A149,Data[Label],0))+INDEX(Data[FY2026 Ed Services],MATCH(A149,Data[Label],0)))*B149,0)</f>
        <v>92333</v>
      </c>
      <c r="F149" s="194">
        <f t="shared" si="14"/>
        <v>6584590</v>
      </c>
      <c r="G149" s="243">
        <f>INDEX(Data[FY2027 Budget Enrollment],MATCH(A149,Data[Label],0))</f>
        <v>711.5</v>
      </c>
      <c r="H149" s="182">
        <f>'FY2027 RPDC Report'!K149</f>
        <v>5840703.5</v>
      </c>
      <c r="I149" s="182">
        <f>'FY2027 Categoricals Report'!W149</f>
        <v>1154656</v>
      </c>
      <c r="J149" s="182">
        <f>(ROUND(INDEX(Data[FY2026 Media Services],MATCH(A149,Data[Label],0))*(1+$B$6),2)+ROUND(INDEX(Data[FY2026 Ed Services],MATCH(A149,Data[Label],0))*(1+$B$6),2))*G149</f>
        <v>99318.285000000003</v>
      </c>
      <c r="K149" s="182">
        <f t="shared" si="15"/>
        <v>7094677.7850000001</v>
      </c>
      <c r="L149" s="182">
        <f t="shared" si="16"/>
        <v>510087.78500000015</v>
      </c>
      <c r="M149" s="178">
        <f t="shared" si="17"/>
        <v>7.7466901507914715E-2</v>
      </c>
      <c r="N149" s="184">
        <f t="shared" si="12"/>
        <v>36.799999999999955</v>
      </c>
      <c r="O149" s="185">
        <f t="shared" si="13"/>
        <v>5.4542759745071813E-2</v>
      </c>
    </row>
    <row r="150" spans="1:15" x14ac:dyDescent="0.55000000000000004">
      <c r="A150" s="197" t="s">
        <v>143</v>
      </c>
      <c r="B150" s="176">
        <f>INDEX(Data[FY2026 Budget Enrollment],MATCH(A150,Data[Label],0))</f>
        <v>1354.8</v>
      </c>
      <c r="C150" s="177">
        <f>INDEX(Data[FY2026 RPDC Total],MATCH(A150,Data[Label],0))+INDEX(Data[FY2026 RPDC Budget Guarantee],MATCH(A150,Data[Label],0))</f>
        <v>10889699</v>
      </c>
      <c r="D150" s="177">
        <f>'FY2027 Categoricals Report'!L150</f>
        <v>2073561</v>
      </c>
      <c r="E150" s="177">
        <f>ROUND((INDEX(Data[FY2026 Media Services],MATCH(A150,Data[Label],0))+INDEX(Data[FY2026 Ed Services],MATCH(A150,Data[Label],0)))*B150,0)</f>
        <v>187057</v>
      </c>
      <c r="F150" s="193">
        <f t="shared" si="14"/>
        <v>13150317</v>
      </c>
      <c r="G150" s="244">
        <f>INDEX(Data[FY2027 Budget Enrollment],MATCH(A150,Data[Label],0))</f>
        <v>1335.3</v>
      </c>
      <c r="H150" s="177">
        <f>'FY2027 RPDC Report'!K150</f>
        <v>10930363.4</v>
      </c>
      <c r="I150" s="177">
        <f>'FY2027 Categoricals Report'!W150</f>
        <v>2110447</v>
      </c>
      <c r="J150" s="177">
        <f>(ROUND(INDEX(Data[FY2026 Media Services],MATCH(A150,Data[Label],0))*(1+$B$6),2)+ROUND(INDEX(Data[FY2026 Ed Services],MATCH(A150,Data[Label],0))*(1+$B$6),2))*G150</f>
        <v>188063.65199999997</v>
      </c>
      <c r="K150" s="177">
        <f t="shared" si="15"/>
        <v>13228874.052000001</v>
      </c>
      <c r="L150" s="177">
        <f t="shared" si="16"/>
        <v>78557.052000001073</v>
      </c>
      <c r="M150" s="178">
        <f t="shared" si="17"/>
        <v>5.9737762975600565E-3</v>
      </c>
      <c r="N150" s="179">
        <f t="shared" si="12"/>
        <v>-19.5</v>
      </c>
      <c r="O150" s="180">
        <f t="shared" si="13"/>
        <v>-1.4393268379096547E-2</v>
      </c>
    </row>
    <row r="151" spans="1:15" x14ac:dyDescent="0.55000000000000004">
      <c r="A151" s="198" t="s">
        <v>144</v>
      </c>
      <c r="B151" s="181">
        <f>INDEX(Data[FY2026 Budget Enrollment],MATCH(A151,Data[Label],0))</f>
        <v>3430.2</v>
      </c>
      <c r="C151" s="182">
        <f>INDEX(Data[FY2026 RPDC Total],MATCH(A151,Data[Label],0))+INDEX(Data[FY2026 RPDC Budget Guarantee],MATCH(A151,Data[Label],0))</f>
        <v>27400438</v>
      </c>
      <c r="D151" s="182">
        <f>'FY2027 Categoricals Report'!L151</f>
        <v>4577820</v>
      </c>
      <c r="E151" s="182">
        <f>ROUND((INDEX(Data[FY2026 Media Services],MATCH(A151,Data[Label],0))+INDEX(Data[FY2026 Ed Services],MATCH(A151,Data[Label],0)))*B151,0)</f>
        <v>466987</v>
      </c>
      <c r="F151" s="194">
        <f t="shared" si="14"/>
        <v>32445245</v>
      </c>
      <c r="G151" s="243">
        <f>INDEX(Data[FY2027 Budget Enrollment],MATCH(A151,Data[Label],0))</f>
        <v>3337.8</v>
      </c>
      <c r="H151" s="182">
        <f>'FY2027 RPDC Report'!K151</f>
        <v>27674442.400000002</v>
      </c>
      <c r="I151" s="182">
        <f>'FY2027 Categoricals Report'!W151</f>
        <v>4578619</v>
      </c>
      <c r="J151" s="182">
        <f>(ROUND(INDEX(Data[FY2026 Media Services],MATCH(A151,Data[Label],0))*(1+$B$6),2)+ROUND(INDEX(Data[FY2026 Ed Services],MATCH(A151,Data[Label],0))*(1+$B$6),2))*G151</f>
        <v>463520.28600000002</v>
      </c>
      <c r="K151" s="182">
        <f t="shared" si="15"/>
        <v>32716581.686000004</v>
      </c>
      <c r="L151" s="182">
        <f t="shared" si="16"/>
        <v>271336.68600000441</v>
      </c>
      <c r="M151" s="178">
        <f t="shared" si="17"/>
        <v>8.3629106822896357E-3</v>
      </c>
      <c r="N151" s="184">
        <f t="shared" si="12"/>
        <v>-92.399999999999636</v>
      </c>
      <c r="O151" s="185">
        <f t="shared" si="13"/>
        <v>-2.6937204827706736E-2</v>
      </c>
    </row>
    <row r="152" spans="1:15" x14ac:dyDescent="0.55000000000000004">
      <c r="A152" s="197" t="s">
        <v>145</v>
      </c>
      <c r="B152" s="176">
        <f>INDEX(Data[FY2026 Budget Enrollment],MATCH(A152,Data[Label],0))</f>
        <v>820.3</v>
      </c>
      <c r="C152" s="177">
        <f>INDEX(Data[FY2026 RPDC Total],MATCH(A152,Data[Label],0))+INDEX(Data[FY2026 RPDC Budget Guarantee],MATCH(A152,Data[Label],0))</f>
        <v>6552556</v>
      </c>
      <c r="D152" s="177">
        <f>'FY2027 Categoricals Report'!L152</f>
        <v>1399128</v>
      </c>
      <c r="E152" s="177">
        <f>ROUND((INDEX(Data[FY2026 Media Services],MATCH(A152,Data[Label],0))+INDEX(Data[FY2026 Ed Services],MATCH(A152,Data[Label],0)))*B152,0)</f>
        <v>111676</v>
      </c>
      <c r="F152" s="193">
        <f t="shared" si="14"/>
        <v>8063360</v>
      </c>
      <c r="G152" s="244">
        <f>INDEX(Data[FY2027 Budget Enrollment],MATCH(A152,Data[Label],0))</f>
        <v>798.9</v>
      </c>
      <c r="H152" s="177">
        <f>'FY2027 RPDC Report'!K152</f>
        <v>6618081.2000000002</v>
      </c>
      <c r="I152" s="177">
        <f>'FY2027 Categoricals Report'!W152</f>
        <v>1408681</v>
      </c>
      <c r="J152" s="177">
        <f>(ROUND(INDEX(Data[FY2026 Media Services],MATCH(A152,Data[Label],0))*(1+$B$6),2)+ROUND(INDEX(Data[FY2026 Ed Services],MATCH(A152,Data[Label],0))*(1+$B$6),2))*G152</f>
        <v>110943.243</v>
      </c>
      <c r="K152" s="177">
        <f t="shared" si="15"/>
        <v>8137705.443</v>
      </c>
      <c r="L152" s="177">
        <f t="shared" si="16"/>
        <v>74345.44299999997</v>
      </c>
      <c r="M152" s="178">
        <f t="shared" si="17"/>
        <v>9.2201567336693355E-3</v>
      </c>
      <c r="N152" s="179">
        <f t="shared" si="12"/>
        <v>-21.399999999999977</v>
      </c>
      <c r="O152" s="180">
        <f t="shared" si="13"/>
        <v>-2.6088016579300231E-2</v>
      </c>
    </row>
    <row r="153" spans="1:15" x14ac:dyDescent="0.55000000000000004">
      <c r="A153" s="198" t="s">
        <v>146</v>
      </c>
      <c r="B153" s="181">
        <f>INDEX(Data[FY2026 Budget Enrollment],MATCH(A153,Data[Label],0))</f>
        <v>14550.6</v>
      </c>
      <c r="C153" s="182">
        <f>INDEX(Data[FY2026 RPDC Total],MATCH(A153,Data[Label],0))+INDEX(Data[FY2026 RPDC Budget Guarantee],MATCH(A153,Data[Label],0))</f>
        <v>116230193</v>
      </c>
      <c r="D153" s="182">
        <f>'FY2027 Categoricals Report'!L153</f>
        <v>19597198</v>
      </c>
      <c r="E153" s="182">
        <f>ROUND((INDEX(Data[FY2026 Media Services],MATCH(A153,Data[Label],0))+INDEX(Data[FY2026 Ed Services],MATCH(A153,Data[Label],0)))*B153,0)</f>
        <v>1985284</v>
      </c>
      <c r="F153" s="194">
        <f t="shared" si="14"/>
        <v>137812675</v>
      </c>
      <c r="G153" s="243">
        <f>INDEX(Data[FY2027 Budget Enrollment],MATCH(A153,Data[Label],0))</f>
        <v>14369.6</v>
      </c>
      <c r="H153" s="182">
        <f>'FY2027 RPDC Report'!K153</f>
        <v>117392494.8</v>
      </c>
      <c r="I153" s="182">
        <f>'FY2027 Categoricals Report'!W153</f>
        <v>20608288</v>
      </c>
      <c r="J153" s="182">
        <f>(ROUND(INDEX(Data[FY2026 Media Services],MATCH(A153,Data[Label],0))*(1+$B$6),2)+ROUND(INDEX(Data[FY2026 Ed Services],MATCH(A153,Data[Label],0))*(1+$B$6),2))*G153</f>
        <v>1999817.2320000003</v>
      </c>
      <c r="K153" s="182">
        <f t="shared" si="15"/>
        <v>140000600.03200001</v>
      </c>
      <c r="L153" s="182">
        <f t="shared" si="16"/>
        <v>2187925.0320000052</v>
      </c>
      <c r="M153" s="178">
        <f t="shared" si="17"/>
        <v>1.5876079845340823E-2</v>
      </c>
      <c r="N153" s="184">
        <f t="shared" si="12"/>
        <v>-181</v>
      </c>
      <c r="O153" s="185">
        <f t="shared" si="13"/>
        <v>-1.2439349580086044E-2</v>
      </c>
    </row>
    <row r="154" spans="1:15" x14ac:dyDescent="0.55000000000000004">
      <c r="A154" s="197" t="s">
        <v>147</v>
      </c>
      <c r="B154" s="176">
        <f>INDEX(Data[FY2026 Budget Enrollment],MATCH(A154,Data[Label],0))</f>
        <v>965.8</v>
      </c>
      <c r="C154" s="177">
        <f>INDEX(Data[FY2026 RPDC Total],MATCH(A154,Data[Label],0))+INDEX(Data[FY2026 RPDC Budget Guarantee],MATCH(A154,Data[Label],0))</f>
        <v>7933506</v>
      </c>
      <c r="D154" s="177">
        <f>'FY2027 Categoricals Report'!L154</f>
        <v>1573950</v>
      </c>
      <c r="E154" s="177">
        <f>ROUND((INDEX(Data[FY2026 Media Services],MATCH(A154,Data[Label],0))+INDEX(Data[FY2026 Ed Services],MATCH(A154,Data[Label],0)))*B154,0)</f>
        <v>133348</v>
      </c>
      <c r="F154" s="193">
        <f t="shared" si="14"/>
        <v>9640804</v>
      </c>
      <c r="G154" s="244">
        <f>INDEX(Data[FY2027 Budget Enrollment],MATCH(A154,Data[Label],0))</f>
        <v>974.7</v>
      </c>
      <c r="H154" s="177">
        <f>'FY2027 RPDC Report'!K154</f>
        <v>7941855.6000000006</v>
      </c>
      <c r="I154" s="177">
        <f>'FY2027 Categoricals Report'!W154</f>
        <v>1602226</v>
      </c>
      <c r="J154" s="177">
        <f>(ROUND(INDEX(Data[FY2026 Media Services],MATCH(A154,Data[Label],0))*(1+$B$6),2)+ROUND(INDEX(Data[FY2026 Ed Services],MATCH(A154,Data[Label],0))*(1+$B$6),2))*G154</f>
        <v>137276.74799999999</v>
      </c>
      <c r="K154" s="177">
        <f t="shared" si="15"/>
        <v>9681358.3480000012</v>
      </c>
      <c r="L154" s="177">
        <f t="shared" si="16"/>
        <v>40554.348000001162</v>
      </c>
      <c r="M154" s="178">
        <f t="shared" si="17"/>
        <v>4.206531737394637E-3</v>
      </c>
      <c r="N154" s="179">
        <f t="shared" si="12"/>
        <v>8.9000000000000909</v>
      </c>
      <c r="O154" s="180">
        <f t="shared" si="13"/>
        <v>9.2151584178919981E-3</v>
      </c>
    </row>
    <row r="155" spans="1:15" x14ac:dyDescent="0.55000000000000004">
      <c r="A155" s="198" t="s">
        <v>148</v>
      </c>
      <c r="B155" s="181">
        <f>INDEX(Data[FY2026 Budget Enrollment],MATCH(A155,Data[Label],0))</f>
        <v>484.8</v>
      </c>
      <c r="C155" s="182">
        <f>INDEX(Data[FY2026 RPDC Total],MATCH(A155,Data[Label],0))+INDEX(Data[FY2026 RPDC Budget Guarantee],MATCH(A155,Data[Label],0))</f>
        <v>3989280</v>
      </c>
      <c r="D155" s="182">
        <f>'FY2027 Categoricals Report'!L155</f>
        <v>782052</v>
      </c>
      <c r="E155" s="182">
        <f>ROUND((INDEX(Data[FY2026 Media Services],MATCH(A155,Data[Label],0))+INDEX(Data[FY2026 Ed Services],MATCH(A155,Data[Label],0)))*B155,0)</f>
        <v>66146</v>
      </c>
      <c r="F155" s="194">
        <f t="shared" si="14"/>
        <v>4837478</v>
      </c>
      <c r="G155" s="243">
        <f>INDEX(Data[FY2027 Budget Enrollment],MATCH(A155,Data[Label],0))</f>
        <v>484.9</v>
      </c>
      <c r="H155" s="182">
        <f>'FY2027 RPDC Report'!K155</f>
        <v>3950965.1999999997</v>
      </c>
      <c r="I155" s="182">
        <f>'FY2027 Categoricals Report'!W155</f>
        <v>790218</v>
      </c>
      <c r="J155" s="182">
        <f>(ROUND(INDEX(Data[FY2026 Media Services],MATCH(A155,Data[Label],0))*(1+$B$6),2)+ROUND(INDEX(Data[FY2026 Ed Services],MATCH(A155,Data[Label],0))*(1+$B$6),2))*G155</f>
        <v>67483.53300000001</v>
      </c>
      <c r="K155" s="182">
        <f t="shared" si="15"/>
        <v>4808666.733</v>
      </c>
      <c r="L155" s="182">
        <f t="shared" si="16"/>
        <v>-28811.266999999993</v>
      </c>
      <c r="M155" s="178">
        <f t="shared" si="17"/>
        <v>-5.9558445537116643E-3</v>
      </c>
      <c r="N155" s="184">
        <f t="shared" si="12"/>
        <v>9.9999999999965894E-2</v>
      </c>
      <c r="O155" s="185">
        <f t="shared" si="13"/>
        <v>2.0627062706263591E-4</v>
      </c>
    </row>
    <row r="156" spans="1:15" x14ac:dyDescent="0.55000000000000004">
      <c r="A156" s="197" t="s">
        <v>149</v>
      </c>
      <c r="B156" s="176">
        <f>INDEX(Data[FY2026 Budget Enrollment],MATCH(A156,Data[Label],0))</f>
        <v>443.1</v>
      </c>
      <c r="C156" s="177">
        <f>INDEX(Data[FY2026 RPDC Total],MATCH(A156,Data[Label],0))+INDEX(Data[FY2026 RPDC Budget Guarantee],MATCH(A156,Data[Label],0))</f>
        <v>3554991</v>
      </c>
      <c r="D156" s="177">
        <f>'FY2027 Categoricals Report'!L156</f>
        <v>804394</v>
      </c>
      <c r="E156" s="177">
        <f>ROUND((INDEX(Data[FY2026 Media Services],MATCH(A156,Data[Label],0))+INDEX(Data[FY2026 Ed Services],MATCH(A156,Data[Label],0)))*B156,0)</f>
        <v>61179</v>
      </c>
      <c r="F156" s="193">
        <f t="shared" si="14"/>
        <v>4420564</v>
      </c>
      <c r="G156" s="244">
        <f>INDEX(Data[FY2027 Budget Enrollment],MATCH(A156,Data[Label],0))</f>
        <v>430.2</v>
      </c>
      <c r="H156" s="177">
        <f>'FY2027 RPDC Report'!K156</f>
        <v>3590540.6</v>
      </c>
      <c r="I156" s="177">
        <f>'FY2027 Categoricals Report'!W156</f>
        <v>804421</v>
      </c>
      <c r="J156" s="177">
        <f>(ROUND(INDEX(Data[FY2026 Media Services],MATCH(A156,Data[Label],0))*(1+$B$6),2)+ROUND(INDEX(Data[FY2026 Ed Services],MATCH(A156,Data[Label],0))*(1+$B$6),2))*G156</f>
        <v>60589.367999999988</v>
      </c>
      <c r="K156" s="177">
        <f t="shared" si="15"/>
        <v>4455550.9680000003</v>
      </c>
      <c r="L156" s="177">
        <f t="shared" si="16"/>
        <v>34986.968000000343</v>
      </c>
      <c r="M156" s="178">
        <f t="shared" si="17"/>
        <v>7.9145937034279662E-3</v>
      </c>
      <c r="N156" s="179">
        <f t="shared" si="12"/>
        <v>-12.900000000000034</v>
      </c>
      <c r="O156" s="180">
        <f t="shared" si="13"/>
        <v>-2.9113067027759048E-2</v>
      </c>
    </row>
    <row r="157" spans="1:15" x14ac:dyDescent="0.55000000000000004">
      <c r="A157" s="198" t="s">
        <v>150</v>
      </c>
      <c r="B157" s="181">
        <f>INDEX(Data[FY2026 Budget Enrollment],MATCH(A157,Data[Label],0))</f>
        <v>869.7</v>
      </c>
      <c r="C157" s="182">
        <f>INDEX(Data[FY2026 RPDC Total],MATCH(A157,Data[Label],0))+INDEX(Data[FY2026 RPDC Budget Guarantee],MATCH(A157,Data[Label],0))</f>
        <v>6947164</v>
      </c>
      <c r="D157" s="182">
        <f>'FY2027 Categoricals Report'!L157</f>
        <v>1393954</v>
      </c>
      <c r="E157" s="182">
        <f>ROUND((INDEX(Data[FY2026 Media Services],MATCH(A157,Data[Label],0))+INDEX(Data[FY2026 Ed Services],MATCH(A157,Data[Label],0)))*B157,0)</f>
        <v>120079</v>
      </c>
      <c r="F157" s="194">
        <f t="shared" si="14"/>
        <v>8461197</v>
      </c>
      <c r="G157" s="243">
        <f>INDEX(Data[FY2027 Budget Enrollment],MATCH(A157,Data[Label],0))</f>
        <v>826.6</v>
      </c>
      <c r="H157" s="182">
        <f>'FY2027 RPDC Report'!K157</f>
        <v>7016635.7999999998</v>
      </c>
      <c r="I157" s="182">
        <f>'FY2027 Categoricals Report'!W157</f>
        <v>1423156</v>
      </c>
      <c r="J157" s="182">
        <f>(ROUND(INDEX(Data[FY2026 Media Services],MATCH(A157,Data[Label],0))*(1+$B$6),2)+ROUND(INDEX(Data[FY2026 Ed Services],MATCH(A157,Data[Label],0))*(1+$B$6),2))*G157</f>
        <v>116418.34399999998</v>
      </c>
      <c r="K157" s="182">
        <f t="shared" si="15"/>
        <v>8556210.1439999994</v>
      </c>
      <c r="L157" s="182">
        <f t="shared" si="16"/>
        <v>95013.143999999389</v>
      </c>
      <c r="M157" s="178">
        <f t="shared" si="17"/>
        <v>1.1229279261551218E-2</v>
      </c>
      <c r="N157" s="184">
        <f t="shared" si="12"/>
        <v>-43.100000000000023</v>
      </c>
      <c r="O157" s="185">
        <f t="shared" si="13"/>
        <v>-4.9557318615614604E-2</v>
      </c>
    </row>
    <row r="158" spans="1:15" x14ac:dyDescent="0.55000000000000004">
      <c r="A158" s="197" t="s">
        <v>151</v>
      </c>
      <c r="B158" s="176">
        <f>INDEX(Data[FY2026 Budget Enrollment],MATCH(A158,Data[Label],0))</f>
        <v>6737.5</v>
      </c>
      <c r="C158" s="177">
        <f>INDEX(Data[FY2026 RPDC Total],MATCH(A158,Data[Label],0))+INDEX(Data[FY2026 RPDC Budget Guarantee],MATCH(A158,Data[Label],0))</f>
        <v>54052491</v>
      </c>
      <c r="D158" s="177">
        <f>'FY2027 Categoricals Report'!L158</f>
        <v>8724288</v>
      </c>
      <c r="E158" s="177">
        <f>ROUND((INDEX(Data[FY2026 Media Services],MATCH(A158,Data[Label],0))+INDEX(Data[FY2026 Ed Services],MATCH(A158,Data[Label],0)))*B158,0)</f>
        <v>917243</v>
      </c>
      <c r="F158" s="193">
        <f t="shared" si="14"/>
        <v>63694022</v>
      </c>
      <c r="G158" s="244">
        <f>INDEX(Data[FY2027 Budget Enrollment],MATCH(A158,Data[Label],0))</f>
        <v>6673</v>
      </c>
      <c r="H158" s="177">
        <f>'FY2027 RPDC Report'!K158</f>
        <v>54371604</v>
      </c>
      <c r="I158" s="177">
        <f>'FY2027 Categoricals Report'!W158</f>
        <v>9174324</v>
      </c>
      <c r="J158" s="177">
        <f>(ROUND(INDEX(Data[FY2026 Media Services],MATCH(A158,Data[Label],0))*(1+$B$6),2)+ROUND(INDEX(Data[FY2026 Ed Services],MATCH(A158,Data[Label],0))*(1+$B$6),2))*G158</f>
        <v>926679.51</v>
      </c>
      <c r="K158" s="177">
        <f t="shared" si="15"/>
        <v>64472607.509999998</v>
      </c>
      <c r="L158" s="177">
        <f t="shared" si="16"/>
        <v>778585.50999999791</v>
      </c>
      <c r="M158" s="178">
        <f t="shared" si="17"/>
        <v>1.2223839625012186E-2</v>
      </c>
      <c r="N158" s="179">
        <f t="shared" si="12"/>
        <v>-64.5</v>
      </c>
      <c r="O158" s="180">
        <f t="shared" si="13"/>
        <v>-9.5732838589981453E-3</v>
      </c>
    </row>
    <row r="159" spans="1:15" x14ac:dyDescent="0.55000000000000004">
      <c r="A159" s="198" t="s">
        <v>152</v>
      </c>
      <c r="B159" s="181">
        <f>INDEX(Data[FY2026 Budget Enrollment],MATCH(A159,Data[Label],0))</f>
        <v>1788.3</v>
      </c>
      <c r="C159" s="182">
        <f>INDEX(Data[FY2026 RPDC Total],MATCH(A159,Data[Label],0))+INDEX(Data[FY2026 RPDC Budget Guarantee],MATCH(A159,Data[Label],0))</f>
        <v>14419742</v>
      </c>
      <c r="D159" s="182">
        <f>'FY2027 Categoricals Report'!L159</f>
        <v>2544436</v>
      </c>
      <c r="E159" s="182">
        <f>ROUND((INDEX(Data[FY2026 Media Services],MATCH(A159,Data[Label],0))+INDEX(Data[FY2026 Ed Services],MATCH(A159,Data[Label],0)))*B159,0)</f>
        <v>243906</v>
      </c>
      <c r="F159" s="194">
        <f t="shared" si="14"/>
        <v>17208084</v>
      </c>
      <c r="G159" s="243">
        <f>INDEX(Data[FY2027 Budget Enrollment],MATCH(A159,Data[Label],0))</f>
        <v>1746.3</v>
      </c>
      <c r="H159" s="182">
        <f>'FY2027 RPDC Report'!K159</f>
        <v>14427789.4</v>
      </c>
      <c r="I159" s="182">
        <f>'FY2027 Categoricals Report'!W159</f>
        <v>2552277</v>
      </c>
      <c r="J159" s="182">
        <f>(ROUND(INDEX(Data[FY2026 Media Services],MATCH(A159,Data[Label],0))*(1+$B$6),2)+ROUND(INDEX(Data[FY2026 Ed Services],MATCH(A159,Data[Label],0))*(1+$B$6),2))*G159</f>
        <v>242945.25599999999</v>
      </c>
      <c r="K159" s="182">
        <f t="shared" si="15"/>
        <v>17223011.655999999</v>
      </c>
      <c r="L159" s="182">
        <f t="shared" si="16"/>
        <v>14927.655999999493</v>
      </c>
      <c r="M159" s="178">
        <f t="shared" si="17"/>
        <v>8.6747926149125573E-4</v>
      </c>
      <c r="N159" s="184">
        <f t="shared" si="12"/>
        <v>-42</v>
      </c>
      <c r="O159" s="185">
        <f t="shared" si="13"/>
        <v>-2.3485992283173964E-2</v>
      </c>
    </row>
    <row r="160" spans="1:15" x14ac:dyDescent="0.55000000000000004">
      <c r="A160" s="197" t="s">
        <v>153</v>
      </c>
      <c r="B160" s="176">
        <f>INDEX(Data[FY2026 Budget Enrollment],MATCH(A160,Data[Label],0))</f>
        <v>331.5</v>
      </c>
      <c r="C160" s="177">
        <f>INDEX(Data[FY2026 RPDC Total],MATCH(A160,Data[Label],0))+INDEX(Data[FY2026 RPDC Budget Guarantee],MATCH(A160,Data[Label],0))</f>
        <v>2741184</v>
      </c>
      <c r="D160" s="177">
        <f>'FY2027 Categoricals Report'!L160</f>
        <v>788241</v>
      </c>
      <c r="E160" s="177">
        <f>ROUND((INDEX(Data[FY2026 Media Services],MATCH(A160,Data[Label],0))+INDEX(Data[FY2026 Ed Services],MATCH(A160,Data[Label],0)))*B160,0)</f>
        <v>45213</v>
      </c>
      <c r="F160" s="193">
        <f t="shared" si="14"/>
        <v>3574638</v>
      </c>
      <c r="G160" s="244">
        <f>INDEX(Data[FY2027 Budget Enrollment],MATCH(A160,Data[Label],0))</f>
        <v>337.7</v>
      </c>
      <c r="H160" s="177">
        <f>'FY2027 RPDC Report'!K160</f>
        <v>2752930.4</v>
      </c>
      <c r="I160" s="177">
        <f>'FY2027 Categoricals Report'!W160</f>
        <v>812754</v>
      </c>
      <c r="J160" s="177">
        <f>(ROUND(INDEX(Data[FY2026 Media Services],MATCH(A160,Data[Label],0))*(1+$B$6),2)+ROUND(INDEX(Data[FY2026 Ed Services],MATCH(A160,Data[Label],0))*(1+$B$6),2))*G160</f>
        <v>46980.824000000001</v>
      </c>
      <c r="K160" s="177">
        <f t="shared" si="15"/>
        <v>3612665.2239999999</v>
      </c>
      <c r="L160" s="177">
        <f t="shared" si="16"/>
        <v>38027.223999999929</v>
      </c>
      <c r="M160" s="178">
        <f t="shared" si="17"/>
        <v>1.0638062931127552E-2</v>
      </c>
      <c r="N160" s="179">
        <f t="shared" si="12"/>
        <v>6.1999999999999886</v>
      </c>
      <c r="O160" s="180">
        <f t="shared" si="13"/>
        <v>1.8702865761689256E-2</v>
      </c>
    </row>
    <row r="161" spans="1:15" x14ac:dyDescent="0.55000000000000004">
      <c r="A161" s="198" t="s">
        <v>154</v>
      </c>
      <c r="B161" s="181">
        <f>INDEX(Data[FY2026 Budget Enrollment],MATCH(A161,Data[Label],0))</f>
        <v>461.2</v>
      </c>
      <c r="C161" s="182">
        <f>INDEX(Data[FY2026 RPDC Total],MATCH(A161,Data[Label],0))+INDEX(Data[FY2026 RPDC Budget Guarantee],MATCH(A161,Data[Label],0))</f>
        <v>3713121</v>
      </c>
      <c r="D161" s="182">
        <f>'FY2027 Categoricals Report'!L161</f>
        <v>793491</v>
      </c>
      <c r="E161" s="182">
        <f>ROUND((INDEX(Data[FY2026 Media Services],MATCH(A161,Data[Label],0))+INDEX(Data[FY2026 Ed Services],MATCH(A161,Data[Label],0)))*B161,0)</f>
        <v>63798</v>
      </c>
      <c r="F161" s="194">
        <f t="shared" si="14"/>
        <v>4570410</v>
      </c>
      <c r="G161" s="243">
        <f>INDEX(Data[FY2027 Budget Enrollment],MATCH(A161,Data[Label],0))</f>
        <v>461.1</v>
      </c>
      <c r="H161" s="182">
        <f>'FY2027 RPDC Report'!K161</f>
        <v>3786092.1</v>
      </c>
      <c r="I161" s="182">
        <f>'FY2027 Categoricals Report'!W161</f>
        <v>808258</v>
      </c>
      <c r="J161" s="182">
        <f>(ROUND(INDEX(Data[FY2026 Media Services],MATCH(A161,Data[Label],0))*(1+$B$6),2)+ROUND(INDEX(Data[FY2026 Ed Services],MATCH(A161,Data[Label],0))*(1+$B$6),2))*G161</f>
        <v>65061.21</v>
      </c>
      <c r="K161" s="182">
        <f t="shared" si="15"/>
        <v>4659411.3100000005</v>
      </c>
      <c r="L161" s="182">
        <f t="shared" si="16"/>
        <v>89001.310000000522</v>
      </c>
      <c r="M161" s="178">
        <f t="shared" si="17"/>
        <v>1.9473375473972907E-2</v>
      </c>
      <c r="N161" s="184">
        <f t="shared" si="12"/>
        <v>-9.9999999999965894E-2</v>
      </c>
      <c r="O161" s="185">
        <f t="shared" si="13"/>
        <v>-2.1682567215950974E-4</v>
      </c>
    </row>
    <row r="162" spans="1:15" x14ac:dyDescent="0.55000000000000004">
      <c r="A162" s="197" t="s">
        <v>155</v>
      </c>
      <c r="B162" s="176">
        <f>INDEX(Data[FY2026 Budget Enrollment],MATCH(A162,Data[Label],0))</f>
        <v>1719.4</v>
      </c>
      <c r="C162" s="177">
        <f>INDEX(Data[FY2026 RPDC Total],MATCH(A162,Data[Label],0))+INDEX(Data[FY2026 RPDC Budget Guarantee],MATCH(A162,Data[Label],0))</f>
        <v>13734567</v>
      </c>
      <c r="D162" s="177">
        <f>'FY2027 Categoricals Report'!L162</f>
        <v>2372032</v>
      </c>
      <c r="E162" s="177">
        <f>ROUND((INDEX(Data[FY2026 Media Services],MATCH(A162,Data[Label],0))+INDEX(Data[FY2026 Ed Services],MATCH(A162,Data[Label],0)))*B162,0)</f>
        <v>234079</v>
      </c>
      <c r="F162" s="193">
        <f t="shared" si="14"/>
        <v>16340678</v>
      </c>
      <c r="G162" s="244">
        <f>INDEX(Data[FY2027 Budget Enrollment],MATCH(A162,Data[Label],0))</f>
        <v>1628.1</v>
      </c>
      <c r="H162" s="177">
        <f>'FY2027 RPDC Report'!K162</f>
        <v>13871912.799999999</v>
      </c>
      <c r="I162" s="177">
        <f>'FY2027 Categoricals Report'!W162</f>
        <v>2372032</v>
      </c>
      <c r="J162" s="177">
        <f>(ROUND(INDEX(Data[FY2026 Media Services],MATCH(A162,Data[Label],0))*(1+$B$6),2)+ROUND(INDEX(Data[FY2026 Ed Services],MATCH(A162,Data[Label],0))*(1+$B$6),2))*G162</f>
        <v>226094.247</v>
      </c>
      <c r="K162" s="177">
        <f t="shared" si="15"/>
        <v>16470039.046999998</v>
      </c>
      <c r="L162" s="177">
        <f t="shared" si="16"/>
        <v>129361.04699999839</v>
      </c>
      <c r="M162" s="178">
        <f t="shared" si="17"/>
        <v>7.9165042601046544E-3</v>
      </c>
      <c r="N162" s="179">
        <f t="shared" si="12"/>
        <v>-91.300000000000182</v>
      </c>
      <c r="O162" s="180">
        <f t="shared" si="13"/>
        <v>-5.3099918576247629E-2</v>
      </c>
    </row>
    <row r="163" spans="1:15" x14ac:dyDescent="0.55000000000000004">
      <c r="A163" s="198" t="s">
        <v>156</v>
      </c>
      <c r="B163" s="181">
        <f>INDEX(Data[FY2026 Budget Enrollment],MATCH(A163,Data[Label],0))</f>
        <v>552.9</v>
      </c>
      <c r="C163" s="182">
        <f>INDEX(Data[FY2026 RPDC Total],MATCH(A163,Data[Label],0))+INDEX(Data[FY2026 RPDC Budget Guarantee],MATCH(A163,Data[Label],0))</f>
        <v>4432709</v>
      </c>
      <c r="D163" s="182">
        <f>'FY2027 Categoricals Report'!L163</f>
        <v>868430</v>
      </c>
      <c r="E163" s="182">
        <f>ROUND((INDEX(Data[FY2026 Media Services],MATCH(A163,Data[Label],0))+INDEX(Data[FY2026 Ed Services],MATCH(A163,Data[Label],0)))*B163,0)</f>
        <v>76339</v>
      </c>
      <c r="F163" s="194">
        <f t="shared" si="14"/>
        <v>5377478</v>
      </c>
      <c r="G163" s="243">
        <f>INDEX(Data[FY2027 Budget Enrollment],MATCH(A163,Data[Label],0))</f>
        <v>544.5</v>
      </c>
      <c r="H163" s="182">
        <f>'FY2027 RPDC Report'!K163</f>
        <v>4460731</v>
      </c>
      <c r="I163" s="182">
        <f>'FY2027 Categoricals Report'!W163</f>
        <v>871929</v>
      </c>
      <c r="J163" s="182">
        <f>(ROUND(INDEX(Data[FY2026 Media Services],MATCH(A163,Data[Label],0))*(1+$B$6),2)+ROUND(INDEX(Data[FY2026 Ed Services],MATCH(A163,Data[Label],0))*(1+$B$6),2))*G163</f>
        <v>76687.37999999999</v>
      </c>
      <c r="K163" s="182">
        <f t="shared" si="15"/>
        <v>5409347.3799999999</v>
      </c>
      <c r="L163" s="182">
        <f t="shared" si="16"/>
        <v>31869.379999999888</v>
      </c>
      <c r="M163" s="178">
        <f t="shared" si="17"/>
        <v>5.9264547432829832E-3</v>
      </c>
      <c r="N163" s="184">
        <f t="shared" si="12"/>
        <v>-8.3999999999999773</v>
      </c>
      <c r="O163" s="185">
        <f t="shared" si="13"/>
        <v>-1.5192620727075379E-2</v>
      </c>
    </row>
    <row r="164" spans="1:15" x14ac:dyDescent="0.55000000000000004">
      <c r="A164" s="197" t="s">
        <v>157</v>
      </c>
      <c r="B164" s="176">
        <f>INDEX(Data[FY2026 Budget Enrollment],MATCH(A164,Data[Label],0))</f>
        <v>290.3</v>
      </c>
      <c r="C164" s="177">
        <f>INDEX(Data[FY2026 RPDC Total],MATCH(A164,Data[Label],0))+INDEX(Data[FY2026 RPDC Budget Guarantee],MATCH(A164,Data[Label],0))</f>
        <v>2413961</v>
      </c>
      <c r="D164" s="177">
        <f>'FY2027 Categoricals Report'!L164</f>
        <v>583779</v>
      </c>
      <c r="E164" s="177">
        <f>ROUND((INDEX(Data[FY2026 Media Services],MATCH(A164,Data[Label],0))+INDEX(Data[FY2026 Ed Services],MATCH(A164,Data[Label],0)))*B164,0)</f>
        <v>39728</v>
      </c>
      <c r="F164" s="193">
        <f t="shared" si="14"/>
        <v>3037468</v>
      </c>
      <c r="G164" s="244">
        <f>INDEX(Data[FY2027 Budget Enrollment],MATCH(A164,Data[Label],0))</f>
        <v>288.89999999999998</v>
      </c>
      <c r="H164" s="177">
        <f>'FY2027 RPDC Report'!K164</f>
        <v>2353957.1999999997</v>
      </c>
      <c r="I164" s="177">
        <f>'FY2027 Categoricals Report'!W164</f>
        <v>583037</v>
      </c>
      <c r="J164" s="177">
        <f>(ROUND(INDEX(Data[FY2026 Media Services],MATCH(A164,Data[Label],0))*(1+$B$6),2)+ROUND(INDEX(Data[FY2026 Ed Services],MATCH(A164,Data[Label],0))*(1+$B$6),2))*G164</f>
        <v>40327.550999999999</v>
      </c>
      <c r="K164" s="177">
        <f t="shared" si="15"/>
        <v>2977321.7509999997</v>
      </c>
      <c r="L164" s="177">
        <f t="shared" si="16"/>
        <v>-60146.249000000302</v>
      </c>
      <c r="M164" s="178">
        <f t="shared" si="17"/>
        <v>-1.9801442846476176E-2</v>
      </c>
      <c r="N164" s="179">
        <f t="shared" si="12"/>
        <v>-1.4000000000000341</v>
      </c>
      <c r="O164" s="180">
        <f t="shared" si="13"/>
        <v>-4.8225973131244713E-3</v>
      </c>
    </row>
    <row r="165" spans="1:15" x14ac:dyDescent="0.55000000000000004">
      <c r="A165" s="198" t="s">
        <v>158</v>
      </c>
      <c r="B165" s="181">
        <f>INDEX(Data[FY2026 Budget Enrollment],MATCH(A165,Data[Label],0))</f>
        <v>315</v>
      </c>
      <c r="C165" s="182">
        <f>INDEX(Data[FY2026 RPDC Total],MATCH(A165,Data[Label],0))+INDEX(Data[FY2026 RPDC Budget Guarantee],MATCH(A165,Data[Label],0))</f>
        <v>2516220</v>
      </c>
      <c r="D165" s="182">
        <f>'FY2027 Categoricals Report'!L165</f>
        <v>569807</v>
      </c>
      <c r="E165" s="182">
        <f>ROUND((INDEX(Data[FY2026 Media Services],MATCH(A165,Data[Label],0))+INDEX(Data[FY2026 Ed Services],MATCH(A165,Data[Label],0)))*B165,0)</f>
        <v>43628</v>
      </c>
      <c r="F165" s="194">
        <f t="shared" si="14"/>
        <v>3129655</v>
      </c>
      <c r="G165" s="243">
        <f>INDEX(Data[FY2027 Budget Enrollment],MATCH(A165,Data[Label],0))</f>
        <v>280</v>
      </c>
      <c r="H165" s="182">
        <f>'FY2027 RPDC Report'!K165</f>
        <v>2541382</v>
      </c>
      <c r="I165" s="182">
        <f>'FY2027 Categoricals Report'!W165</f>
        <v>569807</v>
      </c>
      <c r="J165" s="182">
        <f>(ROUND(INDEX(Data[FY2026 Media Services],MATCH(A165,Data[Label],0))*(1+$B$6),2)+ROUND(INDEX(Data[FY2026 Ed Services],MATCH(A165,Data[Label],0))*(1+$B$6),2))*G165</f>
        <v>39555.600000000006</v>
      </c>
      <c r="K165" s="182">
        <f t="shared" si="15"/>
        <v>3150744.6</v>
      </c>
      <c r="L165" s="182">
        <f t="shared" si="16"/>
        <v>21089.600000000093</v>
      </c>
      <c r="M165" s="178">
        <f t="shared" si="17"/>
        <v>6.7386341305990891E-3</v>
      </c>
      <c r="N165" s="184">
        <f t="shared" si="12"/>
        <v>-35</v>
      </c>
      <c r="O165" s="185">
        <f t="shared" si="13"/>
        <v>-0.1111111111111111</v>
      </c>
    </row>
    <row r="166" spans="1:15" x14ac:dyDescent="0.55000000000000004">
      <c r="A166" s="197" t="s">
        <v>159</v>
      </c>
      <c r="B166" s="176">
        <f>INDEX(Data[FY2026 Budget Enrollment],MATCH(A166,Data[Label],0))</f>
        <v>601.29999999999995</v>
      </c>
      <c r="C166" s="177">
        <f>INDEX(Data[FY2026 RPDC Total],MATCH(A166,Data[Label],0))+INDEX(Data[FY2026 RPDC Budget Guarantee],MATCH(A166,Data[Label],0))</f>
        <v>4840568</v>
      </c>
      <c r="D166" s="177">
        <f>'FY2027 Categoricals Report'!L166</f>
        <v>949019</v>
      </c>
      <c r="E166" s="177">
        <f>ROUND((INDEX(Data[FY2026 Media Services],MATCH(A166,Data[Label],0))+INDEX(Data[FY2026 Ed Services],MATCH(A166,Data[Label],0)))*B166,0)</f>
        <v>83178</v>
      </c>
      <c r="F166" s="193">
        <f t="shared" si="14"/>
        <v>5872765</v>
      </c>
      <c r="G166" s="244">
        <f>INDEX(Data[FY2027 Budget Enrollment],MATCH(A166,Data[Label],0))</f>
        <v>601.20000000000005</v>
      </c>
      <c r="H166" s="177">
        <f>'FY2027 RPDC Report'!K166</f>
        <v>4898577.6000000006</v>
      </c>
      <c r="I166" s="177">
        <f>'FY2027 Categoricals Report'!W166</f>
        <v>981255</v>
      </c>
      <c r="J166" s="177">
        <f>(ROUND(INDEX(Data[FY2026 Media Services],MATCH(A166,Data[Label],0))*(1+$B$6),2)+ROUND(INDEX(Data[FY2026 Ed Services],MATCH(A166,Data[Label],0))*(1+$B$6),2))*G166</f>
        <v>84829.32</v>
      </c>
      <c r="K166" s="177">
        <f t="shared" si="15"/>
        <v>5964661.9200000009</v>
      </c>
      <c r="L166" s="177">
        <f t="shared" si="16"/>
        <v>91896.920000000857</v>
      </c>
      <c r="M166" s="178">
        <f t="shared" si="17"/>
        <v>1.5647981827980662E-2</v>
      </c>
      <c r="N166" s="179">
        <f t="shared" si="12"/>
        <v>-9.9999999999909051E-2</v>
      </c>
      <c r="O166" s="180">
        <f t="shared" si="13"/>
        <v>-1.6630633627126069E-4</v>
      </c>
    </row>
    <row r="167" spans="1:15" x14ac:dyDescent="0.55000000000000004">
      <c r="A167" s="198" t="s">
        <v>160</v>
      </c>
      <c r="B167" s="181">
        <f>INDEX(Data[FY2026 Budget Enrollment],MATCH(A167,Data[Label],0))</f>
        <v>2152.9</v>
      </c>
      <c r="C167" s="182">
        <f>INDEX(Data[FY2026 RPDC Total],MATCH(A167,Data[Label],0))+INDEX(Data[FY2026 RPDC Budget Guarantee],MATCH(A167,Data[Label],0))</f>
        <v>17381468</v>
      </c>
      <c r="D167" s="182">
        <f>'FY2027 Categoricals Report'!L167</f>
        <v>3212094</v>
      </c>
      <c r="E167" s="182">
        <f>ROUND((INDEX(Data[FY2026 Media Services],MATCH(A167,Data[Label],0))+INDEX(Data[FY2026 Ed Services],MATCH(A167,Data[Label],0)))*B167,0)</f>
        <v>297811</v>
      </c>
      <c r="F167" s="194">
        <f t="shared" si="14"/>
        <v>20891373</v>
      </c>
      <c r="G167" s="243">
        <f>INDEX(Data[FY2027 Budget Enrollment],MATCH(A167,Data[Label],0))</f>
        <v>2146.1</v>
      </c>
      <c r="H167" s="182">
        <f>'FY2027 RPDC Report'!K167</f>
        <v>17486422.800000001</v>
      </c>
      <c r="I167" s="182">
        <f>'FY2027 Categoricals Report'!W167</f>
        <v>3412467</v>
      </c>
      <c r="J167" s="182">
        <f>(ROUND(INDEX(Data[FY2026 Media Services],MATCH(A167,Data[Label],0))*(1+$B$6),2)+ROUND(INDEX(Data[FY2026 Ed Services],MATCH(A167,Data[Label],0))*(1+$B$6),2))*G167</f>
        <v>302814.70999999996</v>
      </c>
      <c r="K167" s="182">
        <f t="shared" si="15"/>
        <v>21201704.510000002</v>
      </c>
      <c r="L167" s="182">
        <f t="shared" si="16"/>
        <v>310331.51000000164</v>
      </c>
      <c r="M167" s="178">
        <f t="shared" si="17"/>
        <v>1.4854529187717899E-2</v>
      </c>
      <c r="N167" s="184">
        <f t="shared" si="12"/>
        <v>-6.8000000000001819</v>
      </c>
      <c r="O167" s="185">
        <f t="shared" si="13"/>
        <v>-3.1585303544057696E-3</v>
      </c>
    </row>
    <row r="168" spans="1:15" x14ac:dyDescent="0.55000000000000004">
      <c r="A168" s="197" t="s">
        <v>161</v>
      </c>
      <c r="B168" s="176">
        <f>INDEX(Data[FY2026 Budget Enrollment],MATCH(A168,Data[Label],0))</f>
        <v>453.4</v>
      </c>
      <c r="C168" s="177">
        <f>INDEX(Data[FY2026 RPDC Total],MATCH(A168,Data[Label],0))+INDEX(Data[FY2026 RPDC Budget Guarantee],MATCH(A168,Data[Label],0))</f>
        <v>3647816</v>
      </c>
      <c r="D168" s="177">
        <f>'FY2027 Categoricals Report'!L168</f>
        <v>848513</v>
      </c>
      <c r="E168" s="177">
        <f>ROUND((INDEX(Data[FY2026 Media Services],MATCH(A168,Data[Label],0))+INDEX(Data[FY2026 Ed Services],MATCH(A168,Data[Label],0)))*B168,0)</f>
        <v>62048</v>
      </c>
      <c r="F168" s="193">
        <f t="shared" si="14"/>
        <v>4558377</v>
      </c>
      <c r="G168" s="244">
        <f>INDEX(Data[FY2027 Budget Enrollment],MATCH(A168,Data[Label],0))</f>
        <v>424.1</v>
      </c>
      <c r="H168" s="177">
        <f>'FY2027 RPDC Report'!K168</f>
        <v>3657976.8000000003</v>
      </c>
      <c r="I168" s="177">
        <f>'FY2027 Categoricals Report'!W168</f>
        <v>848488</v>
      </c>
      <c r="J168" s="177">
        <f>(ROUND(INDEX(Data[FY2026 Media Services],MATCH(A168,Data[Label],0))*(1+$B$6),2)+ROUND(INDEX(Data[FY2026 Ed Services],MATCH(A168,Data[Label],0))*(1+$B$6),2))*G168</f>
        <v>59200.119000000006</v>
      </c>
      <c r="K168" s="177">
        <f t="shared" si="15"/>
        <v>4565664.9189999998</v>
      </c>
      <c r="L168" s="177">
        <f t="shared" si="16"/>
        <v>7287.9189999997616</v>
      </c>
      <c r="M168" s="178">
        <f t="shared" si="17"/>
        <v>1.5987968963514343E-3</v>
      </c>
      <c r="N168" s="179">
        <f t="shared" si="12"/>
        <v>-29.299999999999955</v>
      </c>
      <c r="O168" s="180">
        <f t="shared" si="13"/>
        <v>-6.4622849580943886E-2</v>
      </c>
    </row>
    <row r="169" spans="1:15" x14ac:dyDescent="0.55000000000000004">
      <c r="A169" s="198" t="s">
        <v>162</v>
      </c>
      <c r="B169" s="181">
        <f>INDEX(Data[FY2026 Budget Enrollment],MATCH(A169,Data[Label],0))</f>
        <v>2616.4</v>
      </c>
      <c r="C169" s="182">
        <f>INDEX(Data[FY2026 RPDC Total],MATCH(A169,Data[Label],0))+INDEX(Data[FY2026 RPDC Budget Guarantee],MATCH(A169,Data[Label],0))</f>
        <v>21123344</v>
      </c>
      <c r="D169" s="182">
        <f>'FY2027 Categoricals Report'!L169</f>
        <v>3655825</v>
      </c>
      <c r="E169" s="182">
        <f>ROUND((INDEX(Data[FY2026 Media Services],MATCH(A169,Data[Label],0))+INDEX(Data[FY2026 Ed Services],MATCH(A169,Data[Label],0)))*B169,0)</f>
        <v>358054</v>
      </c>
      <c r="F169" s="194">
        <f t="shared" si="14"/>
        <v>25137223</v>
      </c>
      <c r="G169" s="243">
        <f>INDEX(Data[FY2027 Budget Enrollment],MATCH(A169,Data[Label],0))</f>
        <v>2557.4</v>
      </c>
      <c r="H169" s="182">
        <f>'FY2027 RPDC Report'!K169</f>
        <v>21108801.199999999</v>
      </c>
      <c r="I169" s="182">
        <f>'FY2027 Categoricals Report'!W169</f>
        <v>3740332</v>
      </c>
      <c r="J169" s="182">
        <f>(ROUND(INDEX(Data[FY2026 Media Services],MATCH(A169,Data[Label],0))*(1+$B$6),2)+ROUND(INDEX(Data[FY2026 Ed Services],MATCH(A169,Data[Label],0))*(1+$B$6),2))*G169</f>
        <v>356987.46600000001</v>
      </c>
      <c r="K169" s="182">
        <f t="shared" si="15"/>
        <v>25206120.666000001</v>
      </c>
      <c r="L169" s="182">
        <f t="shared" si="16"/>
        <v>68897.666000001132</v>
      </c>
      <c r="M169" s="178">
        <f t="shared" si="17"/>
        <v>2.7408622662893644E-3</v>
      </c>
      <c r="N169" s="184">
        <f t="shared" si="12"/>
        <v>-59</v>
      </c>
      <c r="O169" s="185">
        <f t="shared" si="13"/>
        <v>-2.2550068796820057E-2</v>
      </c>
    </row>
    <row r="170" spans="1:15" x14ac:dyDescent="0.55000000000000004">
      <c r="A170" s="197" t="s">
        <v>163</v>
      </c>
      <c r="B170" s="176">
        <f>INDEX(Data[FY2026 Budget Enrollment],MATCH(A170,Data[Label],0))</f>
        <v>7493.7</v>
      </c>
      <c r="C170" s="177">
        <f>INDEX(Data[FY2026 RPDC Total],MATCH(A170,Data[Label],0))+INDEX(Data[FY2026 RPDC Budget Guarantee],MATCH(A170,Data[Label],0))</f>
        <v>59859676</v>
      </c>
      <c r="D170" s="177">
        <f>'FY2027 Categoricals Report'!L170</f>
        <v>9957904</v>
      </c>
      <c r="E170" s="177">
        <f>ROUND((INDEX(Data[FY2026 Media Services],MATCH(A170,Data[Label],0))+INDEX(Data[FY2026 Ed Services],MATCH(A170,Data[Label],0)))*B170,0)</f>
        <v>1022440</v>
      </c>
      <c r="F170" s="193">
        <f t="shared" si="14"/>
        <v>70840020</v>
      </c>
      <c r="G170" s="244">
        <f>INDEX(Data[FY2027 Budget Enrollment],MATCH(A170,Data[Label],0))</f>
        <v>7448.7</v>
      </c>
      <c r="H170" s="177">
        <f>'FY2027 RPDC Report'!K170</f>
        <v>60692007.600000001</v>
      </c>
      <c r="I170" s="177">
        <f>'FY2027 Categoricals Report'!W170</f>
        <v>10364574</v>
      </c>
      <c r="J170" s="177">
        <f>(ROUND(INDEX(Data[FY2026 Media Services],MATCH(A170,Data[Label],0))*(1+$B$6),2)+ROUND(INDEX(Data[FY2026 Ed Services],MATCH(A170,Data[Label],0))*(1+$B$6),2))*G170</f>
        <v>1036635.5790000001</v>
      </c>
      <c r="K170" s="177">
        <f t="shared" si="15"/>
        <v>72093217.179000005</v>
      </c>
      <c r="L170" s="177">
        <f t="shared" si="16"/>
        <v>1253197.1790000051</v>
      </c>
      <c r="M170" s="178">
        <f t="shared" si="17"/>
        <v>1.7690525482629806E-2</v>
      </c>
      <c r="N170" s="179">
        <f t="shared" si="12"/>
        <v>-45</v>
      </c>
      <c r="O170" s="180">
        <f t="shared" si="13"/>
        <v>-6.0050442371592135E-3</v>
      </c>
    </row>
    <row r="171" spans="1:15" x14ac:dyDescent="0.55000000000000004">
      <c r="A171" s="198" t="s">
        <v>164</v>
      </c>
      <c r="B171" s="181">
        <f>INDEX(Data[FY2026 Budget Enrollment],MATCH(A171,Data[Label],0))</f>
        <v>678.4</v>
      </c>
      <c r="C171" s="182">
        <f>INDEX(Data[FY2026 RPDC Total],MATCH(A171,Data[Label],0))+INDEX(Data[FY2026 RPDC Budget Guarantee],MATCH(A171,Data[Label],0))</f>
        <v>5419059</v>
      </c>
      <c r="D171" s="182">
        <f>'FY2027 Categoricals Report'!L171</f>
        <v>1162613</v>
      </c>
      <c r="E171" s="182">
        <f>ROUND((INDEX(Data[FY2026 Media Services],MATCH(A171,Data[Label],0))+INDEX(Data[FY2026 Ed Services],MATCH(A171,Data[Label],0)))*B171,0)</f>
        <v>92561</v>
      </c>
      <c r="F171" s="194">
        <f t="shared" si="14"/>
        <v>6674233</v>
      </c>
      <c r="G171" s="243">
        <f>INDEX(Data[FY2027 Budget Enrollment],MATCH(A171,Data[Label],0))</f>
        <v>670.7</v>
      </c>
      <c r="H171" s="182">
        <f>'FY2027 RPDC Report'!K171</f>
        <v>5473249.6000000006</v>
      </c>
      <c r="I171" s="182">
        <f>'FY2027 Categoricals Report'!W171</f>
        <v>1172965</v>
      </c>
      <c r="J171" s="182">
        <f>(ROUND(INDEX(Data[FY2026 Media Services],MATCH(A171,Data[Label],0))*(1+$B$6),2)+ROUND(INDEX(Data[FY2026 Ed Services],MATCH(A171,Data[Label],0))*(1+$B$6),2))*G171</f>
        <v>93341.319000000018</v>
      </c>
      <c r="K171" s="182">
        <f t="shared" si="15"/>
        <v>6739555.9190000007</v>
      </c>
      <c r="L171" s="182">
        <f t="shared" si="16"/>
        <v>65322.919000000693</v>
      </c>
      <c r="M171" s="178">
        <f t="shared" si="17"/>
        <v>9.7873297201342378E-3</v>
      </c>
      <c r="N171" s="184">
        <f t="shared" si="12"/>
        <v>-7.6999999999999318</v>
      </c>
      <c r="O171" s="185">
        <f t="shared" si="13"/>
        <v>-1.1350235849056504E-2</v>
      </c>
    </row>
    <row r="172" spans="1:15" x14ac:dyDescent="0.55000000000000004">
      <c r="A172" s="197" t="s">
        <v>165</v>
      </c>
      <c r="B172" s="176">
        <f>INDEX(Data[FY2026 Budget Enrollment],MATCH(A172,Data[Label],0))</f>
        <v>586</v>
      </c>
      <c r="C172" s="177">
        <f>INDEX(Data[FY2026 RPDC Total],MATCH(A172,Data[Label],0))+INDEX(Data[FY2026 RPDC Budget Guarantee],MATCH(A172,Data[Label],0))</f>
        <v>4680968</v>
      </c>
      <c r="D172" s="177">
        <f>'FY2027 Categoricals Report'!L172</f>
        <v>1035410</v>
      </c>
      <c r="E172" s="177">
        <f>ROUND((INDEX(Data[FY2026 Media Services],MATCH(A172,Data[Label],0))+INDEX(Data[FY2026 Ed Services],MATCH(A172,Data[Label],0)))*B172,0)</f>
        <v>80194</v>
      </c>
      <c r="F172" s="193">
        <f t="shared" si="14"/>
        <v>5796572</v>
      </c>
      <c r="G172" s="244">
        <f>INDEX(Data[FY2027 Budget Enrollment],MATCH(A172,Data[Label],0))</f>
        <v>554.4</v>
      </c>
      <c r="H172" s="177">
        <f>'FY2027 RPDC Report'!K172</f>
        <v>4727777.2</v>
      </c>
      <c r="I172" s="177">
        <f>'FY2027 Categoricals Report'!W172</f>
        <v>1035410</v>
      </c>
      <c r="J172" s="177">
        <f>(ROUND(INDEX(Data[FY2026 Media Services],MATCH(A172,Data[Label],0))*(1+$B$6),2)+ROUND(INDEX(Data[FY2026 Ed Services],MATCH(A172,Data[Label],0))*(1+$B$6),2))*G172</f>
        <v>77388.695999999996</v>
      </c>
      <c r="K172" s="177">
        <f t="shared" si="15"/>
        <v>5840575.8959999997</v>
      </c>
      <c r="L172" s="177">
        <f t="shared" si="16"/>
        <v>44003.895999999717</v>
      </c>
      <c r="M172" s="178">
        <f t="shared" si="17"/>
        <v>7.5913653794000514E-3</v>
      </c>
      <c r="N172" s="179">
        <f t="shared" si="12"/>
        <v>-31.600000000000023</v>
      </c>
      <c r="O172" s="180">
        <f t="shared" si="13"/>
        <v>-5.392491467576796E-2</v>
      </c>
    </row>
    <row r="173" spans="1:15" x14ac:dyDescent="0.55000000000000004">
      <c r="A173" s="198" t="s">
        <v>166</v>
      </c>
      <c r="B173" s="181">
        <f>INDEX(Data[FY2026 Budget Enrollment],MATCH(A173,Data[Label],0))</f>
        <v>299.8</v>
      </c>
      <c r="C173" s="182">
        <f>INDEX(Data[FY2026 RPDC Total],MATCH(A173,Data[Label],0))+INDEX(Data[FY2026 RPDC Budget Guarantee],MATCH(A173,Data[Label],0))</f>
        <v>2434512</v>
      </c>
      <c r="D173" s="182">
        <f>'FY2027 Categoricals Report'!L173</f>
        <v>769031</v>
      </c>
      <c r="E173" s="182">
        <f>ROUND((INDEX(Data[FY2026 Media Services],MATCH(A173,Data[Label],0))+INDEX(Data[FY2026 Ed Services],MATCH(A173,Data[Label],0)))*B173,0)</f>
        <v>40905</v>
      </c>
      <c r="F173" s="194">
        <f t="shared" si="14"/>
        <v>3244448</v>
      </c>
      <c r="G173" s="243">
        <f>INDEX(Data[FY2027 Budget Enrollment],MATCH(A173,Data[Label],0))</f>
        <v>286.39999999999998</v>
      </c>
      <c r="H173" s="182">
        <f>'FY2027 RPDC Report'!K173</f>
        <v>2418750.1999999997</v>
      </c>
      <c r="I173" s="182">
        <f>'FY2027 Categoricals Report'!W173</f>
        <v>769031</v>
      </c>
      <c r="J173" s="182">
        <f>(ROUND(INDEX(Data[FY2026 Media Services],MATCH(A173,Data[Label],0))*(1+$B$6),2)+ROUND(INDEX(Data[FY2026 Ed Services],MATCH(A173,Data[Label],0))*(1+$B$6),2))*G173</f>
        <v>39858.288</v>
      </c>
      <c r="K173" s="182">
        <f t="shared" si="15"/>
        <v>3227639.4879999999</v>
      </c>
      <c r="L173" s="182">
        <f t="shared" si="16"/>
        <v>-16808.512000000104</v>
      </c>
      <c r="M173" s="178">
        <f t="shared" si="17"/>
        <v>-5.1807000759451546E-3</v>
      </c>
      <c r="N173" s="184">
        <f t="shared" si="12"/>
        <v>-13.400000000000034</v>
      </c>
      <c r="O173" s="185">
        <f t="shared" si="13"/>
        <v>-4.4696464309539802E-2</v>
      </c>
    </row>
    <row r="174" spans="1:15" x14ac:dyDescent="0.55000000000000004">
      <c r="A174" s="197" t="s">
        <v>167</v>
      </c>
      <c r="B174" s="176">
        <f>INDEX(Data[FY2026 Budget Enrollment],MATCH(A174,Data[Label],0))</f>
        <v>669</v>
      </c>
      <c r="C174" s="177">
        <f>INDEX(Data[FY2026 RPDC Total],MATCH(A174,Data[Label],0))+INDEX(Data[FY2026 RPDC Budget Guarantee],MATCH(A174,Data[Label],0))</f>
        <v>5343972</v>
      </c>
      <c r="D174" s="177">
        <f>'FY2027 Categoricals Report'!L174</f>
        <v>1095837</v>
      </c>
      <c r="E174" s="177">
        <f>ROUND((INDEX(Data[FY2026 Media Services],MATCH(A174,Data[Label],0))+INDEX(Data[FY2026 Ed Services],MATCH(A174,Data[Label],0)))*B174,0)</f>
        <v>90757</v>
      </c>
      <c r="F174" s="193">
        <f t="shared" si="14"/>
        <v>6530566</v>
      </c>
      <c r="G174" s="244">
        <f>INDEX(Data[FY2027 Budget Enrollment],MATCH(A174,Data[Label],0))</f>
        <v>645.6</v>
      </c>
      <c r="H174" s="177">
        <f>'FY2027 RPDC Report'!K174</f>
        <v>5397411.7999999998</v>
      </c>
      <c r="I174" s="177">
        <f>'FY2027 Categoricals Report'!W174</f>
        <v>1095837</v>
      </c>
      <c r="J174" s="177">
        <f>(ROUND(INDEX(Data[FY2026 Media Services],MATCH(A174,Data[Label],0))*(1+$B$6),2)+ROUND(INDEX(Data[FY2026 Ed Services],MATCH(A174,Data[Label],0))*(1+$B$6),2))*G174</f>
        <v>89338.127999999997</v>
      </c>
      <c r="K174" s="177">
        <f t="shared" si="15"/>
        <v>6582586.9279999994</v>
      </c>
      <c r="L174" s="177">
        <f t="shared" si="16"/>
        <v>52020.927999999374</v>
      </c>
      <c r="M174" s="178">
        <f t="shared" si="17"/>
        <v>7.9657610075450393E-3</v>
      </c>
      <c r="N174" s="179">
        <f t="shared" si="12"/>
        <v>-23.399999999999977</v>
      </c>
      <c r="O174" s="180">
        <f t="shared" si="13"/>
        <v>-3.4977578475336286E-2</v>
      </c>
    </row>
    <row r="175" spans="1:15" x14ac:dyDescent="0.55000000000000004">
      <c r="A175" s="198" t="s">
        <v>168</v>
      </c>
      <c r="B175" s="181">
        <f>INDEX(Data[FY2026 Budget Enrollment],MATCH(A175,Data[Label],0))</f>
        <v>425.8</v>
      </c>
      <c r="C175" s="182">
        <f>INDEX(Data[FY2026 RPDC Total],MATCH(A175,Data[Label],0))+INDEX(Data[FY2026 RPDC Budget Guarantee],MATCH(A175,Data[Label],0))</f>
        <v>3458114</v>
      </c>
      <c r="D175" s="182">
        <f>'FY2027 Categoricals Report'!L175</f>
        <v>815096</v>
      </c>
      <c r="E175" s="182">
        <f>ROUND((INDEX(Data[FY2026 Media Services],MATCH(A175,Data[Label],0))+INDEX(Data[FY2026 Ed Services],MATCH(A175,Data[Label],0)))*B175,0)</f>
        <v>57968</v>
      </c>
      <c r="F175" s="194">
        <f t="shared" si="14"/>
        <v>4331178</v>
      </c>
      <c r="G175" s="243">
        <f>INDEX(Data[FY2027 Budget Enrollment],MATCH(A175,Data[Label],0))</f>
        <v>427.7</v>
      </c>
      <c r="H175" s="182">
        <f>'FY2027 RPDC Report'!K175</f>
        <v>3484899.6</v>
      </c>
      <c r="I175" s="182">
        <f>'FY2027 Categoricals Report'!W175</f>
        <v>840522</v>
      </c>
      <c r="J175" s="182">
        <f>(ROUND(INDEX(Data[FY2026 Media Services],MATCH(A175,Data[Label],0))*(1+$B$6),2)+ROUND(INDEX(Data[FY2026 Ed Services],MATCH(A175,Data[Label],0))*(1+$B$6),2))*G175</f>
        <v>59394.699000000001</v>
      </c>
      <c r="K175" s="182">
        <f t="shared" si="15"/>
        <v>4384816.2990000006</v>
      </c>
      <c r="L175" s="182">
        <f t="shared" si="16"/>
        <v>53638.299000000581</v>
      </c>
      <c r="M175" s="178">
        <f t="shared" si="17"/>
        <v>1.2384228724841274E-2</v>
      </c>
      <c r="N175" s="184">
        <f t="shared" si="12"/>
        <v>1.8999999999999773</v>
      </c>
      <c r="O175" s="185">
        <f t="shared" si="13"/>
        <v>4.4621888210426893E-3</v>
      </c>
    </row>
    <row r="176" spans="1:15" x14ac:dyDescent="0.55000000000000004">
      <c r="A176" s="197" t="s">
        <v>169</v>
      </c>
      <c r="B176" s="176">
        <f>INDEX(Data[FY2026 Budget Enrollment],MATCH(A176,Data[Label],0))</f>
        <v>794.9</v>
      </c>
      <c r="C176" s="177">
        <f>INDEX(Data[FY2026 RPDC Total],MATCH(A176,Data[Label],0))+INDEX(Data[FY2026 RPDC Budget Guarantee],MATCH(A176,Data[Label],0))</f>
        <v>6422271</v>
      </c>
      <c r="D176" s="177">
        <f>'FY2027 Categoricals Report'!L176</f>
        <v>1277859</v>
      </c>
      <c r="E176" s="177">
        <f>ROUND((INDEX(Data[FY2026 Media Services],MATCH(A176,Data[Label],0))+INDEX(Data[FY2026 Ed Services],MATCH(A176,Data[Label],0)))*B176,0)</f>
        <v>109656</v>
      </c>
      <c r="F176" s="193">
        <f t="shared" si="14"/>
        <v>7809786</v>
      </c>
      <c r="G176" s="244">
        <f>INDEX(Data[FY2027 Budget Enrollment],MATCH(A176,Data[Label],0))</f>
        <v>800.1</v>
      </c>
      <c r="H176" s="177">
        <f>'FY2027 RPDC Report'!K176</f>
        <v>6519214.7999999998</v>
      </c>
      <c r="I176" s="177">
        <f>'FY2027 Categoricals Report'!W176</f>
        <v>1306123</v>
      </c>
      <c r="J176" s="177">
        <f>(ROUND(INDEX(Data[FY2026 Media Services],MATCH(A176,Data[Label],0))*(1+$B$6),2)+ROUND(INDEX(Data[FY2026 Ed Services],MATCH(A176,Data[Label],0))*(1+$B$6),2))*G176</f>
        <v>112582.07099999998</v>
      </c>
      <c r="K176" s="177">
        <f t="shared" si="15"/>
        <v>7937919.8709999993</v>
      </c>
      <c r="L176" s="177">
        <f t="shared" si="16"/>
        <v>128133.87099999934</v>
      </c>
      <c r="M176" s="178">
        <f t="shared" si="17"/>
        <v>1.6406835091255938E-2</v>
      </c>
      <c r="N176" s="179">
        <f t="shared" si="12"/>
        <v>5.2000000000000455</v>
      </c>
      <c r="O176" s="180">
        <f t="shared" si="13"/>
        <v>6.5417033589131278E-3</v>
      </c>
    </row>
    <row r="177" spans="1:15" x14ac:dyDescent="0.55000000000000004">
      <c r="A177" s="198" t="s">
        <v>170</v>
      </c>
      <c r="B177" s="181">
        <f>INDEX(Data[FY2026 Budget Enrollment],MATCH(A177,Data[Label],0))</f>
        <v>619.5</v>
      </c>
      <c r="C177" s="182">
        <f>INDEX(Data[FY2026 RPDC Total],MATCH(A177,Data[Label],0))+INDEX(Data[FY2026 RPDC Budget Guarantee],MATCH(A177,Data[Label],0))</f>
        <v>5087972</v>
      </c>
      <c r="D177" s="182">
        <f>'FY2027 Categoricals Report'!L177</f>
        <v>985812</v>
      </c>
      <c r="E177" s="182">
        <f>ROUND((INDEX(Data[FY2026 Media Services],MATCH(A177,Data[Label],0))+INDEX(Data[FY2026 Ed Services],MATCH(A177,Data[Label],0)))*B177,0)</f>
        <v>84339</v>
      </c>
      <c r="F177" s="194">
        <f t="shared" si="14"/>
        <v>6158123</v>
      </c>
      <c r="G177" s="243">
        <f>INDEX(Data[FY2027 Budget Enrollment],MATCH(A177,Data[Label],0))</f>
        <v>620.1</v>
      </c>
      <c r="H177" s="182">
        <f>'FY2027 RPDC Report'!K177</f>
        <v>5052574.8</v>
      </c>
      <c r="I177" s="182">
        <f>'FY2027 Categoricals Report'!W177</f>
        <v>997474</v>
      </c>
      <c r="J177" s="182">
        <f>(ROUND(INDEX(Data[FY2026 Media Services],MATCH(A177,Data[Label],0))*(1+$B$6),2)+ROUND(INDEX(Data[FY2026 Ed Services],MATCH(A177,Data[Label],0))*(1+$B$6),2))*G177</f>
        <v>86113.287000000011</v>
      </c>
      <c r="K177" s="182">
        <f t="shared" si="15"/>
        <v>6136162.0869999994</v>
      </c>
      <c r="L177" s="182">
        <f t="shared" si="16"/>
        <v>-21960.913000000641</v>
      </c>
      <c r="M177" s="178">
        <f t="shared" si="17"/>
        <v>-3.5661699189835343E-3</v>
      </c>
      <c r="N177" s="184">
        <f t="shared" si="12"/>
        <v>0.60000000000002274</v>
      </c>
      <c r="O177" s="185">
        <f t="shared" si="13"/>
        <v>9.6852300242134415E-4</v>
      </c>
    </row>
    <row r="178" spans="1:15" x14ac:dyDescent="0.55000000000000004">
      <c r="A178" s="197" t="s">
        <v>171</v>
      </c>
      <c r="B178" s="176">
        <f>INDEX(Data[FY2026 Budget Enrollment],MATCH(A178,Data[Label],0))</f>
        <v>660.3</v>
      </c>
      <c r="C178" s="177">
        <f>INDEX(Data[FY2026 RPDC Total],MATCH(A178,Data[Label],0))+INDEX(Data[FY2026 RPDC Budget Guarantee],MATCH(A178,Data[Label],0))</f>
        <v>5287682</v>
      </c>
      <c r="D178" s="177">
        <f>'FY2027 Categoricals Report'!L178</f>
        <v>1153602</v>
      </c>
      <c r="E178" s="177">
        <f>ROUND((INDEX(Data[FY2026 Media Services],MATCH(A178,Data[Label],0))+INDEX(Data[FY2026 Ed Services],MATCH(A178,Data[Label],0)))*B178,0)</f>
        <v>91452</v>
      </c>
      <c r="F178" s="193">
        <f t="shared" si="14"/>
        <v>6532736</v>
      </c>
      <c r="G178" s="244">
        <f>INDEX(Data[FY2027 Budget Enrollment],MATCH(A178,Data[Label],0))</f>
        <v>641.29999999999995</v>
      </c>
      <c r="H178" s="177">
        <f>'FY2027 RPDC Report'!K178</f>
        <v>5340558.3999999994</v>
      </c>
      <c r="I178" s="177">
        <f>'FY2027 Categoricals Report'!W178</f>
        <v>1190894</v>
      </c>
      <c r="J178" s="177">
        <f>(ROUND(INDEX(Data[FY2026 Media Services],MATCH(A178,Data[Label],0))*(1+$B$6),2)+ROUND(INDEX(Data[FY2026 Ed Services],MATCH(A178,Data[Label],0))*(1+$B$6),2))*G178</f>
        <v>90596.451000000001</v>
      </c>
      <c r="K178" s="177">
        <f t="shared" si="15"/>
        <v>6622048.8509999998</v>
      </c>
      <c r="L178" s="177">
        <f t="shared" si="16"/>
        <v>89312.850999999791</v>
      </c>
      <c r="M178" s="178">
        <f t="shared" si="17"/>
        <v>1.3671584310157305E-2</v>
      </c>
      <c r="N178" s="179">
        <f t="shared" si="12"/>
        <v>-19</v>
      </c>
      <c r="O178" s="180">
        <f t="shared" si="13"/>
        <v>-2.8774799333636226E-2</v>
      </c>
    </row>
    <row r="179" spans="1:15" x14ac:dyDescent="0.55000000000000004">
      <c r="A179" s="198" t="s">
        <v>172</v>
      </c>
      <c r="B179" s="181">
        <f>INDEX(Data[FY2026 Budget Enrollment],MATCH(A179,Data[Label],0))</f>
        <v>560.29999999999995</v>
      </c>
      <c r="C179" s="182">
        <f>INDEX(Data[FY2026 RPDC Total],MATCH(A179,Data[Label],0))+INDEX(Data[FY2026 RPDC Budget Guarantee],MATCH(A179,Data[Label],0))</f>
        <v>4582775</v>
      </c>
      <c r="D179" s="182">
        <f>'FY2027 Categoricals Report'!L179</f>
        <v>946982</v>
      </c>
      <c r="E179" s="182">
        <f>ROUND((INDEX(Data[FY2026 Media Services],MATCH(A179,Data[Label],0))+INDEX(Data[FY2026 Ed Services],MATCH(A179,Data[Label],0)))*B179,0)</f>
        <v>77506</v>
      </c>
      <c r="F179" s="194">
        <f t="shared" si="14"/>
        <v>5607263</v>
      </c>
      <c r="G179" s="243">
        <f>INDEX(Data[FY2027 Budget Enrollment],MATCH(A179,Data[Label],0))</f>
        <v>535.5</v>
      </c>
      <c r="H179" s="182">
        <f>'FY2027 RPDC Report'!K179</f>
        <v>4558349.5</v>
      </c>
      <c r="I179" s="182">
        <f>'FY2027 Categoricals Report'!W179</f>
        <v>946982</v>
      </c>
      <c r="J179" s="182">
        <f>(ROUND(INDEX(Data[FY2026 Media Services],MATCH(A179,Data[Label],0))*(1+$B$6),2)+ROUND(INDEX(Data[FY2026 Ed Services],MATCH(A179,Data[Label],0))*(1+$B$6),2))*G179</f>
        <v>75559.05</v>
      </c>
      <c r="K179" s="182">
        <f t="shared" si="15"/>
        <v>5580890.5499999998</v>
      </c>
      <c r="L179" s="182">
        <f t="shared" si="16"/>
        <v>-26372.450000000186</v>
      </c>
      <c r="M179" s="178">
        <f t="shared" si="17"/>
        <v>-4.7032661032664572E-3</v>
      </c>
      <c r="N179" s="184">
        <f t="shared" si="12"/>
        <v>-24.799999999999955</v>
      </c>
      <c r="O179" s="185">
        <f t="shared" si="13"/>
        <v>-4.4262002498661357E-2</v>
      </c>
    </row>
    <row r="180" spans="1:15" x14ac:dyDescent="0.55000000000000004">
      <c r="A180" s="197" t="s">
        <v>173</v>
      </c>
      <c r="B180" s="176">
        <f>INDEX(Data[FY2026 Budget Enrollment],MATCH(A180,Data[Label],0))</f>
        <v>1201.3</v>
      </c>
      <c r="C180" s="177">
        <f>INDEX(Data[FY2026 RPDC Total],MATCH(A180,Data[Label],0))+INDEX(Data[FY2026 RPDC Budget Guarantee],MATCH(A180,Data[Label],0))</f>
        <v>9760970</v>
      </c>
      <c r="D180" s="177">
        <f>'FY2027 Categoricals Report'!L180</f>
        <v>2190018</v>
      </c>
      <c r="E180" s="177">
        <f>ROUND((INDEX(Data[FY2026 Media Services],MATCH(A180,Data[Label],0))+INDEX(Data[FY2026 Ed Services],MATCH(A180,Data[Label],0)))*B180,0)</f>
        <v>162968</v>
      </c>
      <c r="F180" s="193">
        <f t="shared" si="14"/>
        <v>12113956</v>
      </c>
      <c r="G180" s="244">
        <f>INDEX(Data[FY2027 Budget Enrollment],MATCH(A180,Data[Label],0))</f>
        <v>1134.5999999999999</v>
      </c>
      <c r="H180" s="177">
        <f>'FY2027 RPDC Report'!K180</f>
        <v>9691943.7999999989</v>
      </c>
      <c r="I180" s="177">
        <f>'FY2027 Categoricals Report'!W180</f>
        <v>2190018</v>
      </c>
      <c r="J180" s="177">
        <f>(ROUND(INDEX(Data[FY2026 Media Services],MATCH(A180,Data[Label],0))*(1+$B$6),2)+ROUND(INDEX(Data[FY2026 Ed Services],MATCH(A180,Data[Label],0))*(1+$B$6),2))*G180</f>
        <v>157005.94799999997</v>
      </c>
      <c r="K180" s="177">
        <f t="shared" si="15"/>
        <v>12038967.748</v>
      </c>
      <c r="L180" s="177">
        <f t="shared" si="16"/>
        <v>-74988.252000000328</v>
      </c>
      <c r="M180" s="178">
        <f t="shared" si="17"/>
        <v>-6.1902364512468368E-3</v>
      </c>
      <c r="N180" s="179">
        <f t="shared" si="12"/>
        <v>-66.700000000000045</v>
      </c>
      <c r="O180" s="180">
        <f t="shared" si="13"/>
        <v>-5.5523183218180346E-2</v>
      </c>
    </row>
    <row r="181" spans="1:15" x14ac:dyDescent="0.55000000000000004">
      <c r="A181" s="198" t="s">
        <v>174</v>
      </c>
      <c r="B181" s="181">
        <f>INDEX(Data[FY2026 Budget Enrollment],MATCH(A181,Data[Label],0))</f>
        <v>671.9</v>
      </c>
      <c r="C181" s="182">
        <f>INDEX(Data[FY2026 RPDC Total],MATCH(A181,Data[Label],0))+INDEX(Data[FY2026 RPDC Budget Guarantee],MATCH(A181,Data[Label],0))</f>
        <v>5367137</v>
      </c>
      <c r="D181" s="182">
        <f>'FY2027 Categoricals Report'!L181</f>
        <v>1166112</v>
      </c>
      <c r="E181" s="182">
        <f>ROUND((INDEX(Data[FY2026 Media Services],MATCH(A181,Data[Label],0))+INDEX(Data[FY2026 Ed Services],MATCH(A181,Data[Label],0)))*B181,0)</f>
        <v>92689</v>
      </c>
      <c r="F181" s="194">
        <f t="shared" si="14"/>
        <v>6625938</v>
      </c>
      <c r="G181" s="243">
        <f>INDEX(Data[FY2027 Budget Enrollment],MATCH(A181,Data[Label],0))</f>
        <v>673</v>
      </c>
      <c r="H181" s="182">
        <f>'FY2027 RPDC Report'!K181</f>
        <v>5483604</v>
      </c>
      <c r="I181" s="182">
        <f>'FY2027 Categoricals Report'!W181</f>
        <v>1197103</v>
      </c>
      <c r="J181" s="182">
        <f>(ROUND(INDEX(Data[FY2026 Media Services],MATCH(A181,Data[Label],0))*(1+$B$6),2)+ROUND(INDEX(Data[FY2026 Ed Services],MATCH(A181,Data[Label],0))*(1+$B$6),2))*G181</f>
        <v>94697.829999999987</v>
      </c>
      <c r="K181" s="182">
        <f t="shared" si="15"/>
        <v>6775404.8300000001</v>
      </c>
      <c r="L181" s="182">
        <f t="shared" si="16"/>
        <v>149466.83000000007</v>
      </c>
      <c r="M181" s="178">
        <f t="shared" si="17"/>
        <v>2.2557837094159358E-2</v>
      </c>
      <c r="N181" s="184">
        <f t="shared" si="12"/>
        <v>1.1000000000000227</v>
      </c>
      <c r="O181" s="185">
        <f t="shared" si="13"/>
        <v>1.6371483851763994E-3</v>
      </c>
    </row>
    <row r="182" spans="1:15" x14ac:dyDescent="0.55000000000000004">
      <c r="A182" s="197" t="s">
        <v>175</v>
      </c>
      <c r="B182" s="176">
        <f>INDEX(Data[FY2026 Budget Enrollment],MATCH(A182,Data[Label],0))</f>
        <v>444.8</v>
      </c>
      <c r="C182" s="177">
        <f>INDEX(Data[FY2026 RPDC Total],MATCH(A182,Data[Label],0))+INDEX(Data[FY2026 RPDC Budget Guarantee],MATCH(A182,Data[Label],0))</f>
        <v>3677852</v>
      </c>
      <c r="D182" s="177">
        <f>'FY2027 Categoricals Report'!L182</f>
        <v>911390</v>
      </c>
      <c r="E182" s="177">
        <f>ROUND((INDEX(Data[FY2026 Media Services],MATCH(A182,Data[Label],0))+INDEX(Data[FY2026 Ed Services],MATCH(A182,Data[Label],0)))*B182,0)</f>
        <v>61529</v>
      </c>
      <c r="F182" s="193">
        <f t="shared" si="14"/>
        <v>4650771</v>
      </c>
      <c r="G182" s="244">
        <f>INDEX(Data[FY2027 Budget Enrollment],MATCH(A182,Data[Label],0))</f>
        <v>454.3</v>
      </c>
      <c r="H182" s="177">
        <f>'FY2027 RPDC Report'!K182</f>
        <v>3701636.4</v>
      </c>
      <c r="I182" s="177">
        <f>'FY2027 Categoricals Report'!W182</f>
        <v>930101</v>
      </c>
      <c r="J182" s="177">
        <f>(ROUND(INDEX(Data[FY2026 Media Services],MATCH(A182,Data[Label],0))*(1+$B$6),2)+ROUND(INDEX(Data[FY2026 Ed Services],MATCH(A182,Data[Label],0))*(1+$B$6),2))*G182</f>
        <v>64101.729999999996</v>
      </c>
      <c r="K182" s="177">
        <f t="shared" si="15"/>
        <v>4695839.13</v>
      </c>
      <c r="L182" s="177">
        <f t="shared" si="16"/>
        <v>45068.129999999888</v>
      </c>
      <c r="M182" s="178">
        <f t="shared" si="17"/>
        <v>9.6904642262540738E-3</v>
      </c>
      <c r="N182" s="179">
        <f t="shared" si="12"/>
        <v>9.5</v>
      </c>
      <c r="O182" s="180">
        <f t="shared" si="13"/>
        <v>2.1357913669064747E-2</v>
      </c>
    </row>
    <row r="183" spans="1:15" x14ac:dyDescent="0.55000000000000004">
      <c r="A183" s="198" t="s">
        <v>176</v>
      </c>
      <c r="B183" s="181">
        <f>INDEX(Data[FY2026 Budget Enrollment],MATCH(A183,Data[Label],0))</f>
        <v>1706.9</v>
      </c>
      <c r="C183" s="182">
        <f>INDEX(Data[FY2026 RPDC Total],MATCH(A183,Data[Label],0))+INDEX(Data[FY2026 RPDC Budget Guarantee],MATCH(A183,Data[Label],0))</f>
        <v>13954066</v>
      </c>
      <c r="D183" s="182">
        <f>'FY2027 Categoricals Report'!L183</f>
        <v>2606910</v>
      </c>
      <c r="E183" s="182">
        <f>ROUND((INDEX(Data[FY2026 Media Services],MATCH(A183,Data[Label],0))+INDEX(Data[FY2026 Ed Services],MATCH(A183,Data[Label],0)))*B183,0)</f>
        <v>232889</v>
      </c>
      <c r="F183" s="194">
        <f t="shared" si="14"/>
        <v>16793865</v>
      </c>
      <c r="G183" s="243">
        <f>INDEX(Data[FY2027 Budget Enrollment],MATCH(A183,Data[Label],0))</f>
        <v>1704.6</v>
      </c>
      <c r="H183" s="182">
        <f>'FY2027 RPDC Report'!K183</f>
        <v>13994766</v>
      </c>
      <c r="I183" s="182">
        <f>'FY2027 Categoricals Report'!W183</f>
        <v>2681665</v>
      </c>
      <c r="J183" s="182">
        <f>(ROUND(INDEX(Data[FY2026 Media Services],MATCH(A183,Data[Label],0))*(1+$B$6),2)+ROUND(INDEX(Data[FY2026 Ed Services],MATCH(A183,Data[Label],0))*(1+$B$6),2))*G183</f>
        <v>237229.182</v>
      </c>
      <c r="K183" s="182">
        <f t="shared" si="15"/>
        <v>16913660.182</v>
      </c>
      <c r="L183" s="182">
        <f t="shared" si="16"/>
        <v>119795.18200000003</v>
      </c>
      <c r="M183" s="178">
        <f t="shared" si="17"/>
        <v>7.1332705127735655E-3</v>
      </c>
      <c r="N183" s="184">
        <f t="shared" si="12"/>
        <v>-2.3000000000001819</v>
      </c>
      <c r="O183" s="185">
        <f t="shared" si="13"/>
        <v>-1.3474720253091462E-3</v>
      </c>
    </row>
    <row r="184" spans="1:15" x14ac:dyDescent="0.55000000000000004">
      <c r="A184" s="197" t="s">
        <v>177</v>
      </c>
      <c r="B184" s="176">
        <f>INDEX(Data[FY2026 Budget Enrollment],MATCH(A184,Data[Label],0))</f>
        <v>5380.3</v>
      </c>
      <c r="C184" s="177">
        <f>INDEX(Data[FY2026 RPDC Total],MATCH(A184,Data[Label],0))+INDEX(Data[FY2026 RPDC Budget Guarantee],MATCH(A184,Data[Label],0))</f>
        <v>42983217</v>
      </c>
      <c r="D184" s="177">
        <f>'FY2027 Categoricals Report'!L184</f>
        <v>7284865</v>
      </c>
      <c r="E184" s="177">
        <f>ROUND((INDEX(Data[FY2026 Media Services],MATCH(A184,Data[Label],0))+INDEX(Data[FY2026 Ed Services],MATCH(A184,Data[Label],0)))*B184,0)</f>
        <v>742858</v>
      </c>
      <c r="F184" s="193">
        <f t="shared" si="14"/>
        <v>51010940</v>
      </c>
      <c r="G184" s="244">
        <f>INDEX(Data[FY2027 Budget Enrollment],MATCH(A184,Data[Label],0))</f>
        <v>5297.2</v>
      </c>
      <c r="H184" s="177">
        <f>'FY2027 RPDC Report'!K184</f>
        <v>43413048.799999997</v>
      </c>
      <c r="I184" s="177">
        <f>'FY2027 Categoricals Report'!W184</f>
        <v>7375175</v>
      </c>
      <c r="J184" s="177">
        <f>(ROUND(INDEX(Data[FY2026 Media Services],MATCH(A184,Data[Label],0))*(1+$B$6),2)+ROUND(INDEX(Data[FY2026 Ed Services],MATCH(A184,Data[Label],0))*(1+$B$6),2))*G184</f>
        <v>746057.64799999981</v>
      </c>
      <c r="K184" s="177">
        <f t="shared" si="15"/>
        <v>51534281.447999999</v>
      </c>
      <c r="L184" s="177">
        <f t="shared" si="16"/>
        <v>523341.44799999893</v>
      </c>
      <c r="M184" s="178">
        <f t="shared" si="17"/>
        <v>1.0259396278523762E-2</v>
      </c>
      <c r="N184" s="179">
        <f t="shared" si="12"/>
        <v>-83.100000000000364</v>
      </c>
      <c r="O184" s="180">
        <f t="shared" si="13"/>
        <v>-1.544523539579584E-2</v>
      </c>
    </row>
    <row r="185" spans="1:15" x14ac:dyDescent="0.55000000000000004">
      <c r="A185" s="198" t="s">
        <v>178</v>
      </c>
      <c r="B185" s="181">
        <f>INDEX(Data[FY2026 Budget Enrollment],MATCH(A185,Data[Label],0))</f>
        <v>474</v>
      </c>
      <c r="C185" s="182">
        <f>INDEX(Data[FY2026 RPDC Total],MATCH(A185,Data[Label],0))+INDEX(Data[FY2026 RPDC Budget Guarantee],MATCH(A185,Data[Label],0))</f>
        <v>3853327</v>
      </c>
      <c r="D185" s="182">
        <f>'FY2027 Categoricals Report'!L185</f>
        <v>858894</v>
      </c>
      <c r="E185" s="182">
        <f>ROUND((INDEX(Data[FY2026 Media Services],MATCH(A185,Data[Label],0))+INDEX(Data[FY2026 Ed Services],MATCH(A185,Data[Label],0)))*B185,0)</f>
        <v>64530</v>
      </c>
      <c r="F185" s="194">
        <f t="shared" si="14"/>
        <v>4776751</v>
      </c>
      <c r="G185" s="243">
        <f>INDEX(Data[FY2027 Budget Enrollment],MATCH(A185,Data[Label],0))</f>
        <v>466.8</v>
      </c>
      <c r="H185" s="182">
        <f>'FY2027 RPDC Report'!K185</f>
        <v>3824175.4</v>
      </c>
      <c r="I185" s="182">
        <f>'FY2027 Categoricals Report'!W185</f>
        <v>915507</v>
      </c>
      <c r="J185" s="182">
        <f>(ROUND(INDEX(Data[FY2026 Media Services],MATCH(A185,Data[Label],0))*(1+$B$6),2)+ROUND(INDEX(Data[FY2026 Ed Services],MATCH(A185,Data[Label],0))*(1+$B$6),2))*G185</f>
        <v>64824.516000000003</v>
      </c>
      <c r="K185" s="182">
        <f t="shared" si="15"/>
        <v>4804506.9160000002</v>
      </c>
      <c r="L185" s="182">
        <f t="shared" si="16"/>
        <v>27755.916000000201</v>
      </c>
      <c r="M185" s="178">
        <f t="shared" si="17"/>
        <v>5.8106265116185038E-3</v>
      </c>
      <c r="N185" s="184">
        <f t="shared" si="12"/>
        <v>-7.1999999999999886</v>
      </c>
      <c r="O185" s="185">
        <f t="shared" si="13"/>
        <v>-1.5189873417721496E-2</v>
      </c>
    </row>
    <row r="186" spans="1:15" x14ac:dyDescent="0.55000000000000004">
      <c r="A186" s="197" t="s">
        <v>179</v>
      </c>
      <c r="B186" s="176">
        <f>INDEX(Data[FY2026 Budget Enrollment],MATCH(A186,Data[Label],0))</f>
        <v>3280.2</v>
      </c>
      <c r="C186" s="177">
        <f>INDEX(Data[FY2026 RPDC Total],MATCH(A186,Data[Label],0))+INDEX(Data[FY2026 RPDC Budget Guarantee],MATCH(A186,Data[Label],0))</f>
        <v>26612402</v>
      </c>
      <c r="D186" s="177">
        <f>'FY2027 Categoricals Report'!L186</f>
        <v>4799084</v>
      </c>
      <c r="E186" s="177">
        <f>ROUND((INDEX(Data[FY2026 Media Services],MATCH(A186,Data[Label],0))+INDEX(Data[FY2026 Ed Services],MATCH(A186,Data[Label],0)))*B186,0)</f>
        <v>452897</v>
      </c>
      <c r="F186" s="193">
        <f t="shared" si="14"/>
        <v>31864383</v>
      </c>
      <c r="G186" s="244">
        <f>INDEX(Data[FY2027 Budget Enrollment],MATCH(A186,Data[Label],0))</f>
        <v>3286.8</v>
      </c>
      <c r="H186" s="177">
        <f>'FY2027 RPDC Report'!K186</f>
        <v>26886024</v>
      </c>
      <c r="I186" s="177">
        <f>'FY2027 Categoricals Report'!W186</f>
        <v>5117081</v>
      </c>
      <c r="J186" s="177">
        <f>(ROUND(INDEX(Data[FY2026 Media Services],MATCH(A186,Data[Label],0))*(1+$B$6),2)+ROUND(INDEX(Data[FY2026 Ed Services],MATCH(A186,Data[Label],0))*(1+$B$6),2))*G186</f>
        <v>462912.91199999995</v>
      </c>
      <c r="K186" s="177">
        <f t="shared" si="15"/>
        <v>32466017.912</v>
      </c>
      <c r="L186" s="177">
        <f t="shared" si="16"/>
        <v>601634.91200000048</v>
      </c>
      <c r="M186" s="178">
        <f t="shared" si="17"/>
        <v>1.88811097330835E-2</v>
      </c>
      <c r="N186" s="179">
        <f t="shared" si="12"/>
        <v>6.6000000000003638</v>
      </c>
      <c r="O186" s="180">
        <f t="shared" si="13"/>
        <v>2.0120724346077571E-3</v>
      </c>
    </row>
    <row r="187" spans="1:15" x14ac:dyDescent="0.55000000000000004">
      <c r="A187" s="198" t="s">
        <v>180</v>
      </c>
      <c r="B187" s="181">
        <f>INDEX(Data[FY2026 Budget Enrollment],MATCH(A187,Data[Label],0))</f>
        <v>870.6</v>
      </c>
      <c r="C187" s="182">
        <f>INDEX(Data[FY2026 RPDC Total],MATCH(A187,Data[Label],0))+INDEX(Data[FY2026 RPDC Budget Guarantee],MATCH(A187,Data[Label],0))</f>
        <v>7002384</v>
      </c>
      <c r="D187" s="182">
        <f>'FY2027 Categoricals Report'!L187</f>
        <v>1290590</v>
      </c>
      <c r="E187" s="182">
        <f>ROUND((INDEX(Data[FY2026 Media Services],MATCH(A187,Data[Label],0))+INDEX(Data[FY2026 Ed Services],MATCH(A187,Data[Label],0)))*B187,0)</f>
        <v>118741</v>
      </c>
      <c r="F187" s="194">
        <f t="shared" si="14"/>
        <v>8411715</v>
      </c>
      <c r="G187" s="243">
        <f>INDEX(Data[FY2027 Budget Enrollment],MATCH(A187,Data[Label],0))</f>
        <v>861.1</v>
      </c>
      <c r="H187" s="182">
        <f>'FY2027 RPDC Report'!K187</f>
        <v>7023896.7999999998</v>
      </c>
      <c r="I187" s="182">
        <f>'FY2027 Categoricals Report'!W187</f>
        <v>1295018</v>
      </c>
      <c r="J187" s="182">
        <f>(ROUND(INDEX(Data[FY2026 Media Services],MATCH(A187,Data[Label],0))*(1+$B$6),2)+ROUND(INDEX(Data[FY2026 Ed Services],MATCH(A187,Data[Label],0))*(1+$B$6),2))*G187</f>
        <v>119796.232</v>
      </c>
      <c r="K187" s="182">
        <f t="shared" si="15"/>
        <v>8438711.0319999997</v>
      </c>
      <c r="L187" s="182">
        <f t="shared" si="16"/>
        <v>26996.031999999657</v>
      </c>
      <c r="M187" s="178">
        <f t="shared" si="17"/>
        <v>3.2093374537772211E-3</v>
      </c>
      <c r="N187" s="184">
        <f t="shared" si="12"/>
        <v>-9.5</v>
      </c>
      <c r="O187" s="185">
        <f t="shared" si="13"/>
        <v>-1.091201470250402E-2</v>
      </c>
    </row>
    <row r="188" spans="1:15" x14ac:dyDescent="0.55000000000000004">
      <c r="A188" s="197" t="s">
        <v>181</v>
      </c>
      <c r="B188" s="176">
        <f>INDEX(Data[FY2026 Budget Enrollment],MATCH(A188,Data[Label],0))</f>
        <v>287.39999999999998</v>
      </c>
      <c r="C188" s="177">
        <f>INDEX(Data[FY2026 RPDC Total],MATCH(A188,Data[Label],0))+INDEX(Data[FY2026 RPDC Budget Guarantee],MATCH(A188,Data[Label],0))</f>
        <v>2295751</v>
      </c>
      <c r="D188" s="177">
        <f>'FY2027 Categoricals Report'!L188</f>
        <v>616604</v>
      </c>
      <c r="E188" s="177">
        <f>ROUND((INDEX(Data[FY2026 Media Services],MATCH(A188,Data[Label],0))+INDEX(Data[FY2026 Ed Services],MATCH(A188,Data[Label],0)))*B188,0)</f>
        <v>39127</v>
      </c>
      <c r="F188" s="193">
        <f t="shared" si="14"/>
        <v>2951482</v>
      </c>
      <c r="G188" s="244">
        <f>INDEX(Data[FY2027 Budget Enrollment],MATCH(A188,Data[Label],0))</f>
        <v>291.2</v>
      </c>
      <c r="H188" s="177">
        <f>'FY2027 RPDC Report'!K188</f>
        <v>2372697.6</v>
      </c>
      <c r="I188" s="177">
        <f>'FY2027 Categoricals Report'!W188</f>
        <v>627615</v>
      </c>
      <c r="J188" s="177">
        <f>(ROUND(INDEX(Data[FY2026 Media Services],MATCH(A188,Data[Label],0))*(1+$B$6),2)+ROUND(INDEX(Data[FY2026 Ed Services],MATCH(A188,Data[Label],0))*(1+$B$6),2))*G188</f>
        <v>40438.944000000003</v>
      </c>
      <c r="K188" s="177">
        <f t="shared" si="15"/>
        <v>3040751.5440000002</v>
      </c>
      <c r="L188" s="177">
        <f t="shared" si="16"/>
        <v>89269.544000000227</v>
      </c>
      <c r="M188" s="178">
        <f t="shared" si="17"/>
        <v>3.0245667769615476E-2</v>
      </c>
      <c r="N188" s="179">
        <f t="shared" si="12"/>
        <v>3.8000000000000114</v>
      </c>
      <c r="O188" s="180">
        <f t="shared" si="13"/>
        <v>1.3221990257480904E-2</v>
      </c>
    </row>
    <row r="189" spans="1:15" x14ac:dyDescent="0.55000000000000004">
      <c r="A189" s="198" t="s">
        <v>182</v>
      </c>
      <c r="B189" s="181">
        <f>INDEX(Data[FY2026 Budget Enrollment],MATCH(A189,Data[Label],0))</f>
        <v>1154.5999999999999</v>
      </c>
      <c r="C189" s="182">
        <f>INDEX(Data[FY2026 RPDC Total],MATCH(A189,Data[Label],0))+INDEX(Data[FY2026 RPDC Budget Guarantee],MATCH(A189,Data[Label],0))</f>
        <v>9438477</v>
      </c>
      <c r="D189" s="182">
        <f>'FY2027 Categoricals Report'!L189</f>
        <v>2046077</v>
      </c>
      <c r="E189" s="182">
        <f>ROUND((INDEX(Data[FY2026 Media Services],MATCH(A189,Data[Label],0))+INDEX(Data[FY2026 Ed Services],MATCH(A189,Data[Label],0)))*B189,0)</f>
        <v>157534</v>
      </c>
      <c r="F189" s="194">
        <f t="shared" si="14"/>
        <v>11642088</v>
      </c>
      <c r="G189" s="243">
        <f>INDEX(Data[FY2027 Budget Enrollment],MATCH(A189,Data[Label],0))</f>
        <v>1150.0999999999999</v>
      </c>
      <c r="H189" s="182">
        <f>'FY2027 RPDC Report'!K189</f>
        <v>9371014.7999999989</v>
      </c>
      <c r="I189" s="182">
        <f>'FY2027 Categoricals Report'!W189</f>
        <v>2115676</v>
      </c>
      <c r="J189" s="182">
        <f>(ROUND(INDEX(Data[FY2026 Media Services],MATCH(A189,Data[Label],0))*(1+$B$6),2)+ROUND(INDEX(Data[FY2026 Ed Services],MATCH(A189,Data[Label],0))*(1+$B$6),2))*G189</f>
        <v>160059.41700000002</v>
      </c>
      <c r="K189" s="182">
        <f t="shared" si="15"/>
        <v>11646750.216999998</v>
      </c>
      <c r="L189" s="182">
        <f t="shared" si="16"/>
        <v>4662.2169999983162</v>
      </c>
      <c r="M189" s="178">
        <f t="shared" si="17"/>
        <v>4.0046227102890101E-4</v>
      </c>
      <c r="N189" s="184">
        <f t="shared" si="12"/>
        <v>-4.5</v>
      </c>
      <c r="O189" s="185">
        <f t="shared" si="13"/>
        <v>-3.897453663606444E-3</v>
      </c>
    </row>
    <row r="190" spans="1:15" x14ac:dyDescent="0.55000000000000004">
      <c r="A190" s="197" t="s">
        <v>183</v>
      </c>
      <c r="B190" s="176">
        <f>INDEX(Data[FY2026 Budget Enrollment],MATCH(A190,Data[Label],0))</f>
        <v>493.7</v>
      </c>
      <c r="C190" s="177">
        <f>INDEX(Data[FY2026 RPDC Total],MATCH(A190,Data[Label],0))+INDEX(Data[FY2026 RPDC Budget Guarantee],MATCH(A190,Data[Label],0))</f>
        <v>3967867</v>
      </c>
      <c r="D190" s="177">
        <f>'FY2027 Categoricals Report'!L190</f>
        <v>771749</v>
      </c>
      <c r="E190" s="177">
        <f>ROUND((INDEX(Data[FY2026 Media Services],MATCH(A190,Data[Label],0))+INDEX(Data[FY2026 Ed Services],MATCH(A190,Data[Label],0)))*B190,0)</f>
        <v>67360</v>
      </c>
      <c r="F190" s="193">
        <f t="shared" si="14"/>
        <v>4806976</v>
      </c>
      <c r="G190" s="244">
        <f>INDEX(Data[FY2027 Budget Enrollment],MATCH(A190,Data[Label],0))</f>
        <v>478.5</v>
      </c>
      <c r="H190" s="177">
        <f>'FY2027 RPDC Report'!K190</f>
        <v>4007545.5</v>
      </c>
      <c r="I190" s="177">
        <f>'FY2027 Categoricals Report'!W190</f>
        <v>771749</v>
      </c>
      <c r="J190" s="177">
        <f>(ROUND(INDEX(Data[FY2026 Media Services],MATCH(A190,Data[Label],0))*(1+$B$6),2)+ROUND(INDEX(Data[FY2026 Ed Services],MATCH(A190,Data[Label],0))*(1+$B$6),2))*G190</f>
        <v>66592.845000000001</v>
      </c>
      <c r="K190" s="177">
        <f t="shared" si="15"/>
        <v>4845887.3449999997</v>
      </c>
      <c r="L190" s="177">
        <f t="shared" si="16"/>
        <v>38911.344999999739</v>
      </c>
      <c r="M190" s="178">
        <f t="shared" si="17"/>
        <v>8.0947658153483065E-3</v>
      </c>
      <c r="N190" s="179">
        <f t="shared" si="12"/>
        <v>-15.199999999999989</v>
      </c>
      <c r="O190" s="180">
        <f t="shared" si="13"/>
        <v>-3.0787927891432022E-2</v>
      </c>
    </row>
    <row r="191" spans="1:15" x14ac:dyDescent="0.55000000000000004">
      <c r="A191" s="198" t="s">
        <v>184</v>
      </c>
      <c r="B191" s="181">
        <f>INDEX(Data[FY2026 Budget Enrollment],MATCH(A191,Data[Label],0))</f>
        <v>732.6</v>
      </c>
      <c r="C191" s="182">
        <f>INDEX(Data[FY2026 RPDC Total],MATCH(A191,Data[Label],0))+INDEX(Data[FY2026 RPDC Budget Guarantee],MATCH(A191,Data[Label],0))</f>
        <v>5852009</v>
      </c>
      <c r="D191" s="182">
        <f>'FY2027 Categoricals Report'!L191</f>
        <v>1191015</v>
      </c>
      <c r="E191" s="182">
        <f>ROUND((INDEX(Data[FY2026 Media Services],MATCH(A191,Data[Label],0))+INDEX(Data[FY2026 Ed Services],MATCH(A191,Data[Label],0)))*B191,0)</f>
        <v>100256</v>
      </c>
      <c r="F191" s="194">
        <f t="shared" si="14"/>
        <v>7143280</v>
      </c>
      <c r="G191" s="243">
        <f>INDEX(Data[FY2027 Budget Enrollment],MATCH(A191,Data[Label],0))</f>
        <v>713.3</v>
      </c>
      <c r="H191" s="182">
        <f>'FY2027 RPDC Report'!K191</f>
        <v>5910529.3999999994</v>
      </c>
      <c r="I191" s="182">
        <f>'FY2027 Categoricals Report'!W191</f>
        <v>1191853</v>
      </c>
      <c r="J191" s="182">
        <f>(ROUND(INDEX(Data[FY2026 Media Services],MATCH(A191,Data[Label],0))*(1+$B$6),2)+ROUND(INDEX(Data[FY2026 Ed Services],MATCH(A191,Data[Label],0))*(1+$B$6),2))*G191</f>
        <v>99569.546999999991</v>
      </c>
      <c r="K191" s="182">
        <f t="shared" si="15"/>
        <v>7201951.9469999997</v>
      </c>
      <c r="L191" s="182">
        <f t="shared" si="16"/>
        <v>58671.946999999695</v>
      </c>
      <c r="M191" s="178">
        <f t="shared" si="17"/>
        <v>8.2135863356888848E-3</v>
      </c>
      <c r="N191" s="184">
        <f t="shared" si="12"/>
        <v>-19.300000000000068</v>
      </c>
      <c r="O191" s="185">
        <f t="shared" si="13"/>
        <v>-2.6344526344526435E-2</v>
      </c>
    </row>
    <row r="192" spans="1:15" x14ac:dyDescent="0.55000000000000004">
      <c r="A192" s="197" t="s">
        <v>185</v>
      </c>
      <c r="B192" s="176">
        <f>INDEX(Data[FY2026 Budget Enrollment],MATCH(A192,Data[Label],0))</f>
        <v>1529.5</v>
      </c>
      <c r="C192" s="177">
        <f>INDEX(Data[FY2026 RPDC Total],MATCH(A192,Data[Label],0))+INDEX(Data[FY2026 RPDC Budget Guarantee],MATCH(A192,Data[Label],0))</f>
        <v>12217646</v>
      </c>
      <c r="D192" s="177">
        <f>'FY2027 Categoricals Report'!L192</f>
        <v>2599717</v>
      </c>
      <c r="E192" s="177">
        <f>ROUND((INDEX(Data[FY2026 Media Services],MATCH(A192,Data[Label],0))+INDEX(Data[FY2026 Ed Services],MATCH(A192,Data[Label],0)))*B192,0)</f>
        <v>211576</v>
      </c>
      <c r="F192" s="193">
        <f t="shared" si="14"/>
        <v>15028939</v>
      </c>
      <c r="G192" s="244">
        <f>INDEX(Data[FY2027 Budget Enrollment],MATCH(A192,Data[Label],0))</f>
        <v>1491.6</v>
      </c>
      <c r="H192" s="177">
        <f>'FY2027 RPDC Report'!K192</f>
        <v>12339822.799999999</v>
      </c>
      <c r="I192" s="177">
        <f>'FY2027 Categoricals Report'!W192</f>
        <v>2682331</v>
      </c>
      <c r="J192" s="177">
        <f>(ROUND(INDEX(Data[FY2026 Media Services],MATCH(A192,Data[Label],0))*(1+$B$6),2)+ROUND(INDEX(Data[FY2026 Ed Services],MATCH(A192,Data[Label],0))*(1+$B$6),2))*G192</f>
        <v>210464.75999999998</v>
      </c>
      <c r="K192" s="177">
        <f t="shared" si="15"/>
        <v>15232618.559999999</v>
      </c>
      <c r="L192" s="177">
        <f t="shared" si="16"/>
        <v>203679.55999999866</v>
      </c>
      <c r="M192" s="178">
        <f t="shared" si="17"/>
        <v>1.3552490964265584E-2</v>
      </c>
      <c r="N192" s="179">
        <f t="shared" si="12"/>
        <v>-37.900000000000091</v>
      </c>
      <c r="O192" s="180">
        <f t="shared" si="13"/>
        <v>-2.4779339653481589E-2</v>
      </c>
    </row>
    <row r="193" spans="1:15" x14ac:dyDescent="0.55000000000000004">
      <c r="A193" s="198" t="s">
        <v>186</v>
      </c>
      <c r="B193" s="181">
        <f>INDEX(Data[FY2026 Budget Enrollment],MATCH(A193,Data[Label],0))</f>
        <v>454.4</v>
      </c>
      <c r="C193" s="182">
        <f>INDEX(Data[FY2026 RPDC Total],MATCH(A193,Data[Label],0))+INDEX(Data[FY2026 RPDC Budget Guarantee],MATCH(A193,Data[Label],0))</f>
        <v>3681014</v>
      </c>
      <c r="D193" s="182">
        <f>'FY2027 Categoricals Report'!L193</f>
        <v>802739</v>
      </c>
      <c r="E193" s="182">
        <f>ROUND((INDEX(Data[FY2026 Media Services],MATCH(A193,Data[Label],0))+INDEX(Data[FY2026 Ed Services],MATCH(A193,Data[Label],0)))*B193,0)</f>
        <v>62739</v>
      </c>
      <c r="F193" s="194">
        <f t="shared" si="14"/>
        <v>4546492</v>
      </c>
      <c r="G193" s="243">
        <f>INDEX(Data[FY2027 Budget Enrollment],MATCH(A193,Data[Label],0))</f>
        <v>447.9</v>
      </c>
      <c r="H193" s="182">
        <f>'FY2027 RPDC Report'!K193</f>
        <v>3666044.1999999997</v>
      </c>
      <c r="I193" s="182">
        <f>'FY2027 Categoricals Report'!W193</f>
        <v>813789</v>
      </c>
      <c r="J193" s="182">
        <f>(ROUND(INDEX(Data[FY2026 Media Services],MATCH(A193,Data[Label],0))*(1+$B$6),2)+ROUND(INDEX(Data[FY2026 Ed Services],MATCH(A193,Data[Label],0))*(1+$B$6),2))*G193</f>
        <v>63082.235999999983</v>
      </c>
      <c r="K193" s="182">
        <f t="shared" si="15"/>
        <v>4542915.4359999998</v>
      </c>
      <c r="L193" s="182">
        <f t="shared" si="16"/>
        <v>-3576.5640000002459</v>
      </c>
      <c r="M193" s="178">
        <f t="shared" si="17"/>
        <v>-7.8666453168734179E-4</v>
      </c>
      <c r="N193" s="184">
        <f t="shared" si="12"/>
        <v>-6.5</v>
      </c>
      <c r="O193" s="185">
        <f t="shared" si="13"/>
        <v>-1.4304577464788732E-2</v>
      </c>
    </row>
    <row r="194" spans="1:15" x14ac:dyDescent="0.55000000000000004">
      <c r="A194" s="197" t="s">
        <v>187</v>
      </c>
      <c r="B194" s="176">
        <f>INDEX(Data[FY2026 Budget Enrollment],MATCH(A194,Data[Label],0))</f>
        <v>967.6</v>
      </c>
      <c r="C194" s="177">
        <f>INDEX(Data[FY2026 RPDC Total],MATCH(A194,Data[Label],0))+INDEX(Data[FY2026 RPDC Budget Guarantee],MATCH(A194,Data[Label],0))</f>
        <v>7729189</v>
      </c>
      <c r="D194" s="177">
        <f>'FY2027 Categoricals Report'!L194</f>
        <v>1577571</v>
      </c>
      <c r="E194" s="177">
        <f>ROUND((INDEX(Data[FY2026 Media Services],MATCH(A194,Data[Label],0))+INDEX(Data[FY2026 Ed Services],MATCH(A194,Data[Label],0)))*B194,0)</f>
        <v>132019</v>
      </c>
      <c r="F194" s="193">
        <f t="shared" si="14"/>
        <v>9438779</v>
      </c>
      <c r="G194" s="244">
        <f>INDEX(Data[FY2027 Budget Enrollment],MATCH(A194,Data[Label],0))</f>
        <v>952.2</v>
      </c>
      <c r="H194" s="177">
        <f>'FY2027 RPDC Report'!K194</f>
        <v>7806480.6000000006</v>
      </c>
      <c r="I194" s="177">
        <f>'FY2027 Categoricals Report'!W194</f>
        <v>1580840</v>
      </c>
      <c r="J194" s="177">
        <f>(ROUND(INDEX(Data[FY2026 Media Services],MATCH(A194,Data[Label],0))*(1+$B$6),2)+ROUND(INDEX(Data[FY2026 Ed Services],MATCH(A194,Data[Label],0))*(1+$B$6),2))*G194</f>
        <v>132517.67400000003</v>
      </c>
      <c r="K194" s="177">
        <f t="shared" si="15"/>
        <v>9519838.2740000002</v>
      </c>
      <c r="L194" s="177">
        <f t="shared" si="16"/>
        <v>81059.274000000209</v>
      </c>
      <c r="M194" s="178">
        <f t="shared" si="17"/>
        <v>8.587898286420332E-3</v>
      </c>
      <c r="N194" s="179">
        <f t="shared" si="12"/>
        <v>-15.399999999999977</v>
      </c>
      <c r="O194" s="180">
        <f t="shared" si="13"/>
        <v>-1.5915667631252559E-2</v>
      </c>
    </row>
    <row r="195" spans="1:15" x14ac:dyDescent="0.55000000000000004">
      <c r="A195" s="198" t="s">
        <v>188</v>
      </c>
      <c r="B195" s="181">
        <f>INDEX(Data[FY2026 Budget Enrollment],MATCH(A195,Data[Label],0))</f>
        <v>304.39999999999998</v>
      </c>
      <c r="C195" s="182">
        <f>INDEX(Data[FY2026 RPDC Total],MATCH(A195,Data[Label],0))+INDEX(Data[FY2026 RPDC Budget Guarantee],MATCH(A195,Data[Label],0))</f>
        <v>2528572</v>
      </c>
      <c r="D195" s="182">
        <f>'FY2027 Categoricals Report'!L195</f>
        <v>668226</v>
      </c>
      <c r="E195" s="182">
        <f>ROUND((INDEX(Data[FY2026 Media Services],MATCH(A195,Data[Label],0))+INDEX(Data[FY2026 Ed Services],MATCH(A195,Data[Label],0)))*B195,0)</f>
        <v>41517</v>
      </c>
      <c r="F195" s="194">
        <f t="shared" si="14"/>
        <v>3238315</v>
      </c>
      <c r="G195" s="243">
        <f>INDEX(Data[FY2027 Budget Enrollment],MATCH(A195,Data[Label],0))</f>
        <v>301.10000000000002</v>
      </c>
      <c r="H195" s="182">
        <f>'FY2027 RPDC Report'!K195</f>
        <v>2455862.8000000003</v>
      </c>
      <c r="I195" s="182">
        <f>'FY2027 Categoricals Report'!W195</f>
        <v>664263</v>
      </c>
      <c r="J195" s="182">
        <f>(ROUND(INDEX(Data[FY2026 Media Services],MATCH(A195,Data[Label],0))*(1+$B$6),2)+ROUND(INDEX(Data[FY2026 Ed Services],MATCH(A195,Data[Label],0))*(1+$B$6),2))*G195</f>
        <v>41889.032000000007</v>
      </c>
      <c r="K195" s="182">
        <f t="shared" si="15"/>
        <v>3162014.8320000004</v>
      </c>
      <c r="L195" s="182">
        <f t="shared" si="16"/>
        <v>-76300.167999999598</v>
      </c>
      <c r="M195" s="178">
        <f t="shared" si="17"/>
        <v>-2.3561688100138374E-2</v>
      </c>
      <c r="N195" s="184">
        <f t="shared" si="12"/>
        <v>-3.2999999999999545</v>
      </c>
      <c r="O195" s="185">
        <f t="shared" si="13"/>
        <v>-1.0840998685939405E-2</v>
      </c>
    </row>
    <row r="196" spans="1:15" x14ac:dyDescent="0.55000000000000004">
      <c r="A196" s="197" t="s">
        <v>189</v>
      </c>
      <c r="B196" s="176">
        <f>INDEX(Data[FY2026 Budget Enrollment],MATCH(A196,Data[Label],0))</f>
        <v>206.4</v>
      </c>
      <c r="C196" s="177">
        <f>INDEX(Data[FY2026 RPDC Total],MATCH(A196,Data[Label],0))+INDEX(Data[FY2026 RPDC Budget Guarantee],MATCH(A196,Data[Label],0))</f>
        <v>1757930</v>
      </c>
      <c r="D196" s="177">
        <f>'FY2027 Categoricals Report'!L196</f>
        <v>559432</v>
      </c>
      <c r="E196" s="177">
        <f>ROUND((INDEX(Data[FY2026 Media Services],MATCH(A196,Data[Label],0))+INDEX(Data[FY2026 Ed Services],MATCH(A196,Data[Label],0)))*B196,0)</f>
        <v>28246</v>
      </c>
      <c r="F196" s="193">
        <f t="shared" si="14"/>
        <v>2345608</v>
      </c>
      <c r="G196" s="244">
        <f>INDEX(Data[FY2027 Budget Enrollment],MATCH(A196,Data[Label],0))</f>
        <v>210.9</v>
      </c>
      <c r="H196" s="177">
        <f>'FY2027 RPDC Report'!K196</f>
        <v>1725583.8</v>
      </c>
      <c r="I196" s="177">
        <f>'FY2027 Categoricals Report'!W196</f>
        <v>571121</v>
      </c>
      <c r="J196" s="177">
        <f>(ROUND(INDEX(Data[FY2026 Media Services],MATCH(A196,Data[Label],0))*(1+$B$6),2)+ROUND(INDEX(Data[FY2026 Ed Services],MATCH(A196,Data[Label],0))*(1+$B$6),2))*G196</f>
        <v>29439.531000000003</v>
      </c>
      <c r="K196" s="177">
        <f t="shared" si="15"/>
        <v>2326144.3310000002</v>
      </c>
      <c r="L196" s="177">
        <f t="shared" si="16"/>
        <v>-19463.668999999762</v>
      </c>
      <c r="M196" s="178">
        <f t="shared" si="17"/>
        <v>-8.2979206244179603E-3</v>
      </c>
      <c r="N196" s="179">
        <f t="shared" si="12"/>
        <v>4.5</v>
      </c>
      <c r="O196" s="180">
        <f t="shared" si="13"/>
        <v>2.1802325581395349E-2</v>
      </c>
    </row>
    <row r="197" spans="1:15" x14ac:dyDescent="0.55000000000000004">
      <c r="A197" s="198" t="s">
        <v>190</v>
      </c>
      <c r="B197" s="181">
        <f>INDEX(Data[FY2026 Budget Enrollment],MATCH(A197,Data[Label],0))</f>
        <v>191</v>
      </c>
      <c r="C197" s="182">
        <f>INDEX(Data[FY2026 RPDC Total],MATCH(A197,Data[Label],0))+INDEX(Data[FY2026 RPDC Budget Guarantee],MATCH(A197,Data[Label],0))</f>
        <v>1572948</v>
      </c>
      <c r="D197" s="182">
        <f>'FY2027 Categoricals Report'!L197</f>
        <v>349426</v>
      </c>
      <c r="E197" s="182">
        <f>ROUND((INDEX(Data[FY2026 Media Services],MATCH(A197,Data[Label],0))+INDEX(Data[FY2026 Ed Services],MATCH(A197,Data[Label],0)))*B197,0)</f>
        <v>26050</v>
      </c>
      <c r="F197" s="194">
        <f t="shared" si="14"/>
        <v>1948424</v>
      </c>
      <c r="G197" s="243">
        <f>INDEX(Data[FY2027 Budget Enrollment],MATCH(A197,Data[Label],0))</f>
        <v>194</v>
      </c>
      <c r="H197" s="182">
        <f>'FY2027 RPDC Report'!K197</f>
        <v>1580712</v>
      </c>
      <c r="I197" s="182">
        <f>'FY2027 Categoricals Report'!W197</f>
        <v>350112</v>
      </c>
      <c r="J197" s="182">
        <f>(ROUND(INDEX(Data[FY2026 Media Services],MATCH(A197,Data[Label],0))*(1+$B$6),2)+ROUND(INDEX(Data[FY2026 Ed Services],MATCH(A197,Data[Label],0))*(1+$B$6),2))*G197</f>
        <v>26989.280000000002</v>
      </c>
      <c r="K197" s="182">
        <f t="shared" si="15"/>
        <v>1957813.28</v>
      </c>
      <c r="L197" s="182">
        <f t="shared" si="16"/>
        <v>9389.2800000000279</v>
      </c>
      <c r="M197" s="178">
        <f t="shared" si="17"/>
        <v>4.8189100524321342E-3</v>
      </c>
      <c r="N197" s="184">
        <f t="shared" si="12"/>
        <v>3</v>
      </c>
      <c r="O197" s="185">
        <f t="shared" si="13"/>
        <v>1.5706806282722512E-2</v>
      </c>
    </row>
    <row r="198" spans="1:15" x14ac:dyDescent="0.55000000000000004">
      <c r="A198" s="197" t="s">
        <v>191</v>
      </c>
      <c r="B198" s="176">
        <f>INDEX(Data[FY2026 Budget Enrollment],MATCH(A198,Data[Label],0))</f>
        <v>203.8</v>
      </c>
      <c r="C198" s="177">
        <f>INDEX(Data[FY2026 RPDC Total],MATCH(A198,Data[Label],0))+INDEX(Data[FY2026 RPDC Budget Guarantee],MATCH(A198,Data[Label],0))</f>
        <v>1627954</v>
      </c>
      <c r="D198" s="177">
        <f>'FY2027 Categoricals Report'!L198</f>
        <v>431011</v>
      </c>
      <c r="E198" s="177">
        <f>ROUND((INDEX(Data[FY2026 Media Services],MATCH(A198,Data[Label],0))+INDEX(Data[FY2026 Ed Services],MATCH(A198,Data[Label],0)))*B198,0)</f>
        <v>27796</v>
      </c>
      <c r="F198" s="193">
        <f t="shared" si="14"/>
        <v>2086761</v>
      </c>
      <c r="G198" s="244">
        <f>INDEX(Data[FY2027 Budget Enrollment],MATCH(A198,Data[Label],0))</f>
        <v>201</v>
      </c>
      <c r="H198" s="177">
        <f>'FY2027 RPDC Report'!K198</f>
        <v>1644234</v>
      </c>
      <c r="I198" s="177">
        <f>'FY2027 Categoricals Report'!W198</f>
        <v>431667</v>
      </c>
      <c r="J198" s="177">
        <f>(ROUND(INDEX(Data[FY2026 Media Services],MATCH(A198,Data[Label],0))*(1+$B$6),2)+ROUND(INDEX(Data[FY2026 Ed Services],MATCH(A198,Data[Label],0))*(1+$B$6),2))*G198</f>
        <v>27963.120000000003</v>
      </c>
      <c r="K198" s="177">
        <f t="shared" si="15"/>
        <v>2103864.12</v>
      </c>
      <c r="L198" s="177">
        <f t="shared" si="16"/>
        <v>17103.120000000112</v>
      </c>
      <c r="M198" s="178">
        <f t="shared" si="17"/>
        <v>8.1960128639552449E-3</v>
      </c>
      <c r="N198" s="179">
        <f t="shared" si="12"/>
        <v>-2.8000000000000114</v>
      </c>
      <c r="O198" s="180">
        <f t="shared" si="13"/>
        <v>-1.373895976447503E-2</v>
      </c>
    </row>
    <row r="199" spans="1:15" x14ac:dyDescent="0.55000000000000004">
      <c r="A199" s="198" t="s">
        <v>192</v>
      </c>
      <c r="B199" s="181">
        <f>INDEX(Data[FY2026 Budget Enrollment],MATCH(A199,Data[Label],0))</f>
        <v>587.29999999999995</v>
      </c>
      <c r="C199" s="182">
        <f>INDEX(Data[FY2026 RPDC Total],MATCH(A199,Data[Label],0))+INDEX(Data[FY2026 RPDC Budget Guarantee],MATCH(A199,Data[Label],0))</f>
        <v>4729909</v>
      </c>
      <c r="D199" s="182">
        <f>'FY2027 Categoricals Report'!L199</f>
        <v>982467</v>
      </c>
      <c r="E199" s="182">
        <f>ROUND((INDEX(Data[FY2026 Media Services],MATCH(A199,Data[Label],0))+INDEX(Data[FY2026 Ed Services],MATCH(A199,Data[Label],0)))*B199,0)</f>
        <v>80372</v>
      </c>
      <c r="F199" s="194">
        <f t="shared" si="14"/>
        <v>5792748</v>
      </c>
      <c r="G199" s="243">
        <f>INDEX(Data[FY2027 Budget Enrollment],MATCH(A199,Data[Label],0))</f>
        <v>562.5</v>
      </c>
      <c r="H199" s="182">
        <f>'FY2027 RPDC Report'!K199</f>
        <v>4738266</v>
      </c>
      <c r="I199" s="182">
        <f>'FY2027 Categoricals Report'!W199</f>
        <v>982336</v>
      </c>
      <c r="J199" s="182">
        <f>(ROUND(INDEX(Data[FY2026 Media Services],MATCH(A199,Data[Label],0))*(1+$B$6),2)+ROUND(INDEX(Data[FY2026 Ed Services],MATCH(A199,Data[Label],0))*(1+$B$6),2))*G199</f>
        <v>78519.375</v>
      </c>
      <c r="K199" s="182">
        <f t="shared" si="15"/>
        <v>5799121.375</v>
      </c>
      <c r="L199" s="182">
        <f t="shared" si="16"/>
        <v>6373.375</v>
      </c>
      <c r="M199" s="178">
        <f t="shared" si="17"/>
        <v>1.1002334297987759E-3</v>
      </c>
      <c r="N199" s="184">
        <f t="shared" si="12"/>
        <v>-24.799999999999955</v>
      </c>
      <c r="O199" s="185">
        <f t="shared" si="13"/>
        <v>-4.2227141154435481E-2</v>
      </c>
    </row>
    <row r="200" spans="1:15" x14ac:dyDescent="0.55000000000000004">
      <c r="A200" s="197" t="s">
        <v>193</v>
      </c>
      <c r="B200" s="176">
        <f>INDEX(Data[FY2026 Budget Enrollment],MATCH(A200,Data[Label],0))</f>
        <v>1757.1</v>
      </c>
      <c r="C200" s="177">
        <f>INDEX(Data[FY2026 RPDC Total],MATCH(A200,Data[Label],0))+INDEX(Data[FY2026 RPDC Budget Guarantee],MATCH(A200,Data[Label],0))</f>
        <v>14035715</v>
      </c>
      <c r="D200" s="177">
        <f>'FY2027 Categoricals Report'!L200</f>
        <v>2423415</v>
      </c>
      <c r="E200" s="177">
        <f>ROUND((INDEX(Data[FY2026 Media Services],MATCH(A200,Data[Label],0))+INDEX(Data[FY2026 Ed Services],MATCH(A200,Data[Label],0)))*B200,0)</f>
        <v>239651</v>
      </c>
      <c r="F200" s="193">
        <f t="shared" si="14"/>
        <v>16698781</v>
      </c>
      <c r="G200" s="244">
        <f>INDEX(Data[FY2027 Budget Enrollment],MATCH(A200,Data[Label],0))</f>
        <v>1705.2</v>
      </c>
      <c r="H200" s="177">
        <f>'FY2027 RPDC Report'!K200</f>
        <v>14176072.6</v>
      </c>
      <c r="I200" s="177">
        <f>'FY2027 Categoricals Report'!W200</f>
        <v>2423415</v>
      </c>
      <c r="J200" s="177">
        <f>(ROUND(INDEX(Data[FY2026 Media Services],MATCH(A200,Data[Label],0))*(1+$B$6),2)+ROUND(INDEX(Data[FY2026 Ed Services],MATCH(A200,Data[Label],0))*(1+$B$6),2))*G200</f>
        <v>237227.42400000003</v>
      </c>
      <c r="K200" s="177">
        <f t="shared" si="15"/>
        <v>16836715.024</v>
      </c>
      <c r="L200" s="177">
        <f t="shared" si="16"/>
        <v>137934.02400000021</v>
      </c>
      <c r="M200" s="178">
        <f t="shared" si="17"/>
        <v>8.2601253348972125E-3</v>
      </c>
      <c r="N200" s="179">
        <f t="shared" si="12"/>
        <v>-51.899999999999864</v>
      </c>
      <c r="O200" s="180">
        <f t="shared" si="13"/>
        <v>-2.9537305787945972E-2</v>
      </c>
    </row>
    <row r="201" spans="1:15" x14ac:dyDescent="0.55000000000000004">
      <c r="A201" s="198" t="s">
        <v>194</v>
      </c>
      <c r="B201" s="181">
        <f>INDEX(Data[FY2026 Budget Enrollment],MATCH(A201,Data[Label],0))</f>
        <v>1080.3</v>
      </c>
      <c r="C201" s="182">
        <f>INDEX(Data[FY2026 RPDC Total],MATCH(A201,Data[Label],0))+INDEX(Data[FY2026 RPDC Budget Guarantee],MATCH(A201,Data[Label],0))</f>
        <v>8675716</v>
      </c>
      <c r="D201" s="182">
        <f>'FY2027 Categoricals Report'!L201</f>
        <v>1545289</v>
      </c>
      <c r="E201" s="182">
        <f>ROUND((INDEX(Data[FY2026 Media Services],MATCH(A201,Data[Label],0))+INDEX(Data[FY2026 Ed Services],MATCH(A201,Data[Label],0)))*B201,0)</f>
        <v>147396</v>
      </c>
      <c r="F201" s="194">
        <f t="shared" si="14"/>
        <v>10368401</v>
      </c>
      <c r="G201" s="243">
        <f>INDEX(Data[FY2027 Budget Enrollment],MATCH(A201,Data[Label],0))</f>
        <v>1085.0999999999999</v>
      </c>
      <c r="H201" s="182">
        <f>'FY2027 RPDC Report'!K201</f>
        <v>8841394.7999999989</v>
      </c>
      <c r="I201" s="182">
        <f>'FY2027 Categoricals Report'!W201</f>
        <v>1626395</v>
      </c>
      <c r="J201" s="182">
        <f>(ROUND(INDEX(Data[FY2026 Media Services],MATCH(A201,Data[Label],0))*(1+$B$6),2)+ROUND(INDEX(Data[FY2026 Ed Services],MATCH(A201,Data[Label],0))*(1+$B$6),2))*G201</f>
        <v>151013.367</v>
      </c>
      <c r="K201" s="182">
        <f t="shared" si="15"/>
        <v>10618803.166999999</v>
      </c>
      <c r="L201" s="182">
        <f t="shared" si="16"/>
        <v>250402.16699999943</v>
      </c>
      <c r="M201" s="178">
        <f t="shared" si="17"/>
        <v>2.4150509514437129E-2</v>
      </c>
      <c r="N201" s="184">
        <f t="shared" si="12"/>
        <v>4.7999999999999545</v>
      </c>
      <c r="O201" s="185">
        <f t="shared" si="13"/>
        <v>4.4432102193834623E-3</v>
      </c>
    </row>
    <row r="202" spans="1:15" x14ac:dyDescent="0.55000000000000004">
      <c r="A202" s="197" t="s">
        <v>195</v>
      </c>
      <c r="B202" s="176">
        <f>INDEX(Data[FY2026 Budget Enrollment],MATCH(A202,Data[Label],0))</f>
        <v>219.4</v>
      </c>
      <c r="C202" s="177">
        <f>INDEX(Data[FY2026 RPDC Total],MATCH(A202,Data[Label],0))+INDEX(Data[FY2026 RPDC Budget Guarantee],MATCH(A202,Data[Label],0))</f>
        <v>1752567</v>
      </c>
      <c r="D202" s="177">
        <f>'FY2027 Categoricals Report'!L202</f>
        <v>464658</v>
      </c>
      <c r="E202" s="177">
        <f>ROUND((INDEX(Data[FY2026 Media Services],MATCH(A202,Data[Label],0))+INDEX(Data[FY2026 Ed Services],MATCH(A202,Data[Label],0)))*B202,0)</f>
        <v>30025</v>
      </c>
      <c r="F202" s="193">
        <f t="shared" si="14"/>
        <v>2247250</v>
      </c>
      <c r="G202" s="244">
        <f>INDEX(Data[FY2027 Budget Enrollment],MATCH(A202,Data[Label],0))</f>
        <v>213.3</v>
      </c>
      <c r="H202" s="177">
        <f>'FY2027 RPDC Report'!K202</f>
        <v>1770092.4000000001</v>
      </c>
      <c r="I202" s="177">
        <f>'FY2027 Categoricals Report'!W202</f>
        <v>464658</v>
      </c>
      <c r="J202" s="177">
        <f>(ROUND(INDEX(Data[FY2026 Media Services],MATCH(A202,Data[Label],0))*(1+$B$6),2)+ROUND(INDEX(Data[FY2026 Ed Services],MATCH(A202,Data[Label],0))*(1+$B$6),2))*G202</f>
        <v>29774.547000000002</v>
      </c>
      <c r="K202" s="177">
        <f t="shared" si="15"/>
        <v>2264524.9470000002</v>
      </c>
      <c r="L202" s="177">
        <f t="shared" si="16"/>
        <v>17274.94700000016</v>
      </c>
      <c r="M202" s="178">
        <f t="shared" si="17"/>
        <v>7.6871496273223537E-3</v>
      </c>
      <c r="N202" s="179">
        <f t="shared" ref="N202:N265" si="18">G202-B202</f>
        <v>-6.0999999999999943</v>
      </c>
      <c r="O202" s="180">
        <f t="shared" ref="O202:O265" si="19">N202/B202</f>
        <v>-2.7803099361896053E-2</v>
      </c>
    </row>
    <row r="203" spans="1:15" x14ac:dyDescent="0.55000000000000004">
      <c r="A203" s="198" t="s">
        <v>196</v>
      </c>
      <c r="B203" s="181">
        <f>INDEX(Data[FY2026 Budget Enrollment],MATCH(A203,Data[Label],0))</f>
        <v>4315.8999999999996</v>
      </c>
      <c r="C203" s="182">
        <f>INDEX(Data[FY2026 RPDC Total],MATCH(A203,Data[Label],0))+INDEX(Data[FY2026 RPDC Budget Guarantee],MATCH(A203,Data[Label],0))</f>
        <v>34958961</v>
      </c>
      <c r="D203" s="182">
        <f>'FY2027 Categoricals Report'!L203</f>
        <v>6184449</v>
      </c>
      <c r="E203" s="182">
        <f>ROUND((INDEX(Data[FY2026 Media Services],MATCH(A203,Data[Label],0))+INDEX(Data[FY2026 Ed Services],MATCH(A203,Data[Label],0)))*B203,0)</f>
        <v>585495</v>
      </c>
      <c r="F203" s="194">
        <f t="shared" ref="F203:F266" si="20">E203+D203+C203</f>
        <v>41728905</v>
      </c>
      <c r="G203" s="243">
        <f>INDEX(Data[FY2027 Budget Enrollment],MATCH(A203,Data[Label],0))</f>
        <v>4239.3</v>
      </c>
      <c r="H203" s="182">
        <f>'FY2027 RPDC Report'!K203</f>
        <v>34820163.399999999</v>
      </c>
      <c r="I203" s="182">
        <f>'FY2027 Categoricals Report'!W203</f>
        <v>6296303</v>
      </c>
      <c r="J203" s="182">
        <f>(ROUND(INDEX(Data[FY2026 Media Services],MATCH(A203,Data[Label],0))*(1+$B$6),2)+ROUND(INDEX(Data[FY2026 Ed Services],MATCH(A203,Data[Label],0))*(1+$B$6),2))*G203</f>
        <v>586634.33400000003</v>
      </c>
      <c r="K203" s="182">
        <f t="shared" ref="K203:K266" si="21">I203+J203+H203</f>
        <v>41703100.733999997</v>
      </c>
      <c r="L203" s="182">
        <f t="shared" ref="L203:L266" si="22">K203-F203</f>
        <v>-25804.266000002623</v>
      </c>
      <c r="M203" s="178">
        <f t="shared" ref="M203:M266" si="23">L203/F203</f>
        <v>-6.1837869936924117E-4</v>
      </c>
      <c r="N203" s="184">
        <f t="shared" si="18"/>
        <v>-76.599999999999454</v>
      </c>
      <c r="O203" s="185">
        <f t="shared" si="19"/>
        <v>-1.7748325957505841E-2</v>
      </c>
    </row>
    <row r="204" spans="1:15" x14ac:dyDescent="0.55000000000000004">
      <c r="A204" s="197" t="s">
        <v>197</v>
      </c>
      <c r="B204" s="176">
        <f>INDEX(Data[FY2026 Budget Enrollment],MATCH(A204,Data[Label],0))</f>
        <v>573.6</v>
      </c>
      <c r="C204" s="177">
        <f>INDEX(Data[FY2026 RPDC Total],MATCH(A204,Data[Label],0))+INDEX(Data[FY2026 RPDC Budget Guarantee],MATCH(A204,Data[Label],0))</f>
        <v>4739729</v>
      </c>
      <c r="D204" s="177">
        <f>'FY2027 Categoricals Report'!L204</f>
        <v>883098</v>
      </c>
      <c r="E204" s="177">
        <f>ROUND((INDEX(Data[FY2026 Media Services],MATCH(A204,Data[Label],0))+INDEX(Data[FY2026 Ed Services],MATCH(A204,Data[Label],0)))*B204,0)</f>
        <v>79197</v>
      </c>
      <c r="F204" s="193">
        <f t="shared" si="20"/>
        <v>5702024</v>
      </c>
      <c r="G204" s="244">
        <f>INDEX(Data[FY2027 Budget Enrollment],MATCH(A204,Data[Label],0))</f>
        <v>583.6</v>
      </c>
      <c r="H204" s="177">
        <f>'FY2027 RPDC Report'!K204</f>
        <v>4797192</v>
      </c>
      <c r="I204" s="177">
        <f>'FY2027 Categoricals Report'!W204</f>
        <v>913187</v>
      </c>
      <c r="J204" s="177">
        <f>(ROUND(INDEX(Data[FY2026 Media Services],MATCH(A204,Data[Label],0))*(1+$B$6),2)+ROUND(INDEX(Data[FY2026 Ed Services],MATCH(A204,Data[Label],0))*(1+$B$6),2))*G204</f>
        <v>82194.223999999987</v>
      </c>
      <c r="K204" s="177">
        <f t="shared" si="21"/>
        <v>5792573.2239999995</v>
      </c>
      <c r="L204" s="177">
        <f t="shared" si="22"/>
        <v>90549.223999999464</v>
      </c>
      <c r="M204" s="178">
        <f t="shared" si="23"/>
        <v>1.5880189911512028E-2</v>
      </c>
      <c r="N204" s="179">
        <f t="shared" si="18"/>
        <v>10</v>
      </c>
      <c r="O204" s="180">
        <f t="shared" si="19"/>
        <v>1.7433751743375175E-2</v>
      </c>
    </row>
    <row r="205" spans="1:15" x14ac:dyDescent="0.55000000000000004">
      <c r="A205" s="198" t="s">
        <v>198</v>
      </c>
      <c r="B205" s="181">
        <f>INDEX(Data[FY2026 Budget Enrollment],MATCH(A205,Data[Label],0))</f>
        <v>1398.9</v>
      </c>
      <c r="C205" s="182">
        <f>INDEX(Data[FY2026 RPDC Total],MATCH(A205,Data[Label],0))+INDEX(Data[FY2026 RPDC Budget Guarantee],MATCH(A205,Data[Label],0))</f>
        <v>11174413</v>
      </c>
      <c r="D205" s="182">
        <f>'FY2027 Categoricals Report'!L205</f>
        <v>2001618</v>
      </c>
      <c r="E205" s="182">
        <f>ROUND((INDEX(Data[FY2026 Media Services],MATCH(A205,Data[Label],0))+INDEX(Data[FY2026 Ed Services],MATCH(A205,Data[Label],0)))*B205,0)</f>
        <v>190446</v>
      </c>
      <c r="F205" s="194">
        <f t="shared" si="20"/>
        <v>13366477</v>
      </c>
      <c r="G205" s="243">
        <f>INDEX(Data[FY2027 Budget Enrollment],MATCH(A205,Data[Label],0))</f>
        <v>1350.3</v>
      </c>
      <c r="H205" s="182">
        <f>'FY2027 RPDC Report'!K205</f>
        <v>11286157.4</v>
      </c>
      <c r="I205" s="182">
        <f>'FY2027 Categoricals Report'!W205</f>
        <v>2001618</v>
      </c>
      <c r="J205" s="182">
        <f>(ROUND(INDEX(Data[FY2026 Media Services],MATCH(A205,Data[Label],0))*(1+$B$6),2)+ROUND(INDEX(Data[FY2026 Ed Services],MATCH(A205,Data[Label],0))*(1+$B$6),2))*G205</f>
        <v>187516.16099999999</v>
      </c>
      <c r="K205" s="182">
        <f t="shared" si="21"/>
        <v>13475291.561000001</v>
      </c>
      <c r="L205" s="182">
        <f t="shared" si="22"/>
        <v>108814.56100000069</v>
      </c>
      <c r="M205" s="178">
        <f t="shared" si="23"/>
        <v>8.1408557393246317E-3</v>
      </c>
      <c r="N205" s="184">
        <f t="shared" si="18"/>
        <v>-48.600000000000136</v>
      </c>
      <c r="O205" s="185">
        <f t="shared" si="19"/>
        <v>-3.4741582672099605E-2</v>
      </c>
    </row>
    <row r="206" spans="1:15" x14ac:dyDescent="0.55000000000000004">
      <c r="A206" s="197" t="s">
        <v>199</v>
      </c>
      <c r="B206" s="176">
        <f>INDEX(Data[FY2026 Budget Enrollment],MATCH(A206,Data[Label],0))</f>
        <v>992.8</v>
      </c>
      <c r="C206" s="177">
        <f>INDEX(Data[FY2026 RPDC Total],MATCH(A206,Data[Label],0))+INDEX(Data[FY2026 RPDC Budget Guarantee],MATCH(A206,Data[Label],0))</f>
        <v>7930486</v>
      </c>
      <c r="D206" s="177">
        <f>'FY2027 Categoricals Report'!L206</f>
        <v>1545935</v>
      </c>
      <c r="E206" s="177">
        <f>ROUND((INDEX(Data[FY2026 Media Services],MATCH(A206,Data[Label],0))+INDEX(Data[FY2026 Ed Services],MATCH(A206,Data[Label],0)))*B206,0)</f>
        <v>136957</v>
      </c>
      <c r="F206" s="193">
        <f t="shared" si="20"/>
        <v>9613378</v>
      </c>
      <c r="G206" s="244">
        <f>INDEX(Data[FY2027 Budget Enrollment],MATCH(A206,Data[Label],0))</f>
        <v>979.3</v>
      </c>
      <c r="H206" s="177">
        <f>'FY2027 RPDC Report'!K206</f>
        <v>8009790.3999999994</v>
      </c>
      <c r="I206" s="177">
        <f>'FY2027 Categoricals Report'!W206</f>
        <v>1569556</v>
      </c>
      <c r="J206" s="177">
        <f>(ROUND(INDEX(Data[FY2026 Media Services],MATCH(A206,Data[Label],0))*(1+$B$6),2)+ROUND(INDEX(Data[FY2026 Ed Services],MATCH(A206,Data[Label],0))*(1+$B$6),2))*G206</f>
        <v>137797.30299999999</v>
      </c>
      <c r="K206" s="177">
        <f t="shared" si="21"/>
        <v>9717143.7029999997</v>
      </c>
      <c r="L206" s="177">
        <f t="shared" si="22"/>
        <v>103765.70299999975</v>
      </c>
      <c r="M206" s="178">
        <f t="shared" si="23"/>
        <v>1.0793885666411925E-2</v>
      </c>
      <c r="N206" s="179">
        <f t="shared" si="18"/>
        <v>-13.5</v>
      </c>
      <c r="O206" s="180">
        <f t="shared" si="19"/>
        <v>-1.3597904915390814E-2</v>
      </c>
    </row>
    <row r="207" spans="1:15" x14ac:dyDescent="0.55000000000000004">
      <c r="A207" s="198" t="s">
        <v>200</v>
      </c>
      <c r="B207" s="181">
        <f>INDEX(Data[FY2026 Budget Enrollment],MATCH(A207,Data[Label],0))</f>
        <v>544.9</v>
      </c>
      <c r="C207" s="182">
        <f>INDEX(Data[FY2026 RPDC Total],MATCH(A207,Data[Label],0))+INDEX(Data[FY2026 RPDC Budget Guarantee],MATCH(A207,Data[Label],0))</f>
        <v>4352661</v>
      </c>
      <c r="D207" s="182">
        <f>'FY2027 Categoricals Report'!L207</f>
        <v>850572</v>
      </c>
      <c r="E207" s="182">
        <f>ROUND((INDEX(Data[FY2026 Media Services],MATCH(A207,Data[Label],0))+INDEX(Data[FY2026 Ed Services],MATCH(A207,Data[Label],0)))*B207,0)</f>
        <v>74319</v>
      </c>
      <c r="F207" s="194">
        <f t="shared" si="20"/>
        <v>5277552</v>
      </c>
      <c r="G207" s="243">
        <f>INDEX(Data[FY2027 Budget Enrollment],MATCH(A207,Data[Label],0))</f>
        <v>521.4</v>
      </c>
      <c r="H207" s="182">
        <f>'FY2027 RPDC Report'!K207</f>
        <v>4396187.2</v>
      </c>
      <c r="I207" s="182">
        <f>'FY2027 Categoricals Report'!W207</f>
        <v>850572</v>
      </c>
      <c r="J207" s="182">
        <f>(ROUND(INDEX(Data[FY2026 Media Services],MATCH(A207,Data[Label],0))*(1+$B$6),2)+ROUND(INDEX(Data[FY2026 Ed Services],MATCH(A207,Data[Label],0))*(1+$B$6),2))*G207</f>
        <v>72537.168000000005</v>
      </c>
      <c r="K207" s="182">
        <f t="shared" si="21"/>
        <v>5319296.3680000007</v>
      </c>
      <c r="L207" s="182">
        <f t="shared" si="22"/>
        <v>41744.368000000715</v>
      </c>
      <c r="M207" s="178">
        <f t="shared" si="23"/>
        <v>7.9097975728141985E-3</v>
      </c>
      <c r="N207" s="184">
        <f t="shared" si="18"/>
        <v>-23.5</v>
      </c>
      <c r="O207" s="185">
        <f t="shared" si="19"/>
        <v>-4.312717929895394E-2</v>
      </c>
    </row>
    <row r="208" spans="1:15" x14ac:dyDescent="0.55000000000000004">
      <c r="A208" s="197" t="s">
        <v>201</v>
      </c>
      <c r="B208" s="176">
        <f>INDEX(Data[FY2026 Budget Enrollment],MATCH(A208,Data[Label],0))</f>
        <v>451.9</v>
      </c>
      <c r="C208" s="177">
        <f>INDEX(Data[FY2026 RPDC Total],MATCH(A208,Data[Label],0))+INDEX(Data[FY2026 RPDC Budget Guarantee],MATCH(A208,Data[Label],0))</f>
        <v>3792368</v>
      </c>
      <c r="D208" s="177">
        <f>'FY2027 Categoricals Report'!L208</f>
        <v>851088</v>
      </c>
      <c r="E208" s="177">
        <f>ROUND((INDEX(Data[FY2026 Media Services],MATCH(A208,Data[Label],0))+INDEX(Data[FY2026 Ed Services],MATCH(A208,Data[Label],0)))*B208,0)</f>
        <v>62588</v>
      </c>
      <c r="F208" s="193">
        <f t="shared" si="20"/>
        <v>4706044</v>
      </c>
      <c r="G208" s="244">
        <f>INDEX(Data[FY2027 Budget Enrollment],MATCH(A208,Data[Label],0))</f>
        <v>429.7</v>
      </c>
      <c r="H208" s="177">
        <f>'FY2027 RPDC Report'!K208</f>
        <v>3668238.9</v>
      </c>
      <c r="I208" s="177">
        <f>'FY2027 Categoricals Report'!W208</f>
        <v>848218</v>
      </c>
      <c r="J208" s="177">
        <f>(ROUND(INDEX(Data[FY2026 Media Services],MATCH(A208,Data[Label],0))*(1+$B$6),2)+ROUND(INDEX(Data[FY2026 Ed Services],MATCH(A208,Data[Label],0))*(1+$B$6),2))*G208</f>
        <v>60703.719000000005</v>
      </c>
      <c r="K208" s="177">
        <f t="shared" si="21"/>
        <v>4577160.6189999999</v>
      </c>
      <c r="L208" s="177">
        <f t="shared" si="22"/>
        <v>-128883.38100000005</v>
      </c>
      <c r="M208" s="178">
        <f t="shared" si="23"/>
        <v>-2.7386777726685099E-2</v>
      </c>
      <c r="N208" s="179">
        <f t="shared" si="18"/>
        <v>-22.199999999999989</v>
      </c>
      <c r="O208" s="180">
        <f t="shared" si="19"/>
        <v>-4.9125912812569131E-2</v>
      </c>
    </row>
    <row r="209" spans="1:15" x14ac:dyDescent="0.55000000000000004">
      <c r="A209" s="198" t="s">
        <v>202</v>
      </c>
      <c r="B209" s="181">
        <f>INDEX(Data[FY2026 Budget Enrollment],MATCH(A209,Data[Label],0))</f>
        <v>2843.8</v>
      </c>
      <c r="C209" s="182">
        <f>INDEX(Data[FY2026 RPDC Total],MATCH(A209,Data[Label],0))+INDEX(Data[FY2026 RPDC Budget Guarantee],MATCH(A209,Data[Label],0))</f>
        <v>23014834</v>
      </c>
      <c r="D209" s="182">
        <f>'FY2027 Categoricals Report'!L209</f>
        <v>3859851</v>
      </c>
      <c r="E209" s="182">
        <f>ROUND((INDEX(Data[FY2026 Media Services],MATCH(A209,Data[Label],0))+INDEX(Data[FY2026 Ed Services],MATCH(A209,Data[Label],0)))*B209,0)</f>
        <v>387155</v>
      </c>
      <c r="F209" s="194">
        <f t="shared" si="20"/>
        <v>27261840</v>
      </c>
      <c r="G209" s="243">
        <f>INDEX(Data[FY2027 Budget Enrollment],MATCH(A209,Data[Label],0))</f>
        <v>2808.5</v>
      </c>
      <c r="H209" s="182">
        <f>'FY2027 RPDC Report'!K209</f>
        <v>22943437</v>
      </c>
      <c r="I209" s="182">
        <f>'FY2027 Categoricals Report'!W209</f>
        <v>3895920</v>
      </c>
      <c r="J209" s="182">
        <f>(ROUND(INDEX(Data[FY2026 Media Services],MATCH(A209,Data[Label],0))*(1+$B$6),2)+ROUND(INDEX(Data[FY2026 Ed Services],MATCH(A209,Data[Label],0))*(1+$B$6),2))*G209</f>
        <v>390016.39500000002</v>
      </c>
      <c r="K209" s="182">
        <f t="shared" si="21"/>
        <v>27229373.395</v>
      </c>
      <c r="L209" s="182">
        <f t="shared" si="22"/>
        <v>-32466.605000000447</v>
      </c>
      <c r="M209" s="178">
        <f t="shared" si="23"/>
        <v>-1.190917597638327E-3</v>
      </c>
      <c r="N209" s="184">
        <f t="shared" si="18"/>
        <v>-35.300000000000182</v>
      </c>
      <c r="O209" s="185">
        <f t="shared" si="19"/>
        <v>-1.2412968563190161E-2</v>
      </c>
    </row>
    <row r="210" spans="1:15" x14ac:dyDescent="0.55000000000000004">
      <c r="A210" s="197" t="s">
        <v>203</v>
      </c>
      <c r="B210" s="176">
        <f>INDEX(Data[FY2026 Budget Enrollment],MATCH(A210,Data[Label],0))</f>
        <v>635.1</v>
      </c>
      <c r="C210" s="177">
        <f>INDEX(Data[FY2026 RPDC Total],MATCH(A210,Data[Label],0))+INDEX(Data[FY2026 RPDC Budget Guarantee],MATCH(A210,Data[Label],0))</f>
        <v>5252141</v>
      </c>
      <c r="D210" s="177">
        <f>'FY2027 Categoricals Report'!L210</f>
        <v>1208135</v>
      </c>
      <c r="E210" s="177">
        <f>ROUND((INDEX(Data[FY2026 Media Services],MATCH(A210,Data[Label],0))+INDEX(Data[FY2026 Ed Services],MATCH(A210,Data[Label],0)))*B210,0)</f>
        <v>86913</v>
      </c>
      <c r="F210" s="193">
        <f t="shared" si="20"/>
        <v>6547189</v>
      </c>
      <c r="G210" s="244">
        <f>INDEX(Data[FY2027 Budget Enrollment],MATCH(A210,Data[Label],0))</f>
        <v>656.7</v>
      </c>
      <c r="H210" s="177">
        <f>'FY2027 RPDC Report'!K210</f>
        <v>5350791.6000000006</v>
      </c>
      <c r="I210" s="177">
        <f>'FY2027 Categoricals Report'!W210</f>
        <v>1267701</v>
      </c>
      <c r="J210" s="177">
        <f>(ROUND(INDEX(Data[FY2026 Media Services],MATCH(A210,Data[Label],0))*(1+$B$6),2)+ROUND(INDEX(Data[FY2026 Ed Services],MATCH(A210,Data[Label],0))*(1+$B$6),2))*G210</f>
        <v>91668.753000000012</v>
      </c>
      <c r="K210" s="177">
        <f t="shared" si="21"/>
        <v>6710161.3530000001</v>
      </c>
      <c r="L210" s="177">
        <f t="shared" si="22"/>
        <v>162972.35300000012</v>
      </c>
      <c r="M210" s="178">
        <f t="shared" si="23"/>
        <v>2.4891957907431744E-2</v>
      </c>
      <c r="N210" s="179">
        <f t="shared" si="18"/>
        <v>21.600000000000023</v>
      </c>
      <c r="O210" s="180">
        <f t="shared" si="19"/>
        <v>3.4010392064241883E-2</v>
      </c>
    </row>
    <row r="211" spans="1:15" x14ac:dyDescent="0.55000000000000004">
      <c r="A211" s="198" t="s">
        <v>204</v>
      </c>
      <c r="B211" s="181">
        <f>INDEX(Data[FY2026 Budget Enrollment],MATCH(A211,Data[Label],0))</f>
        <v>522.9</v>
      </c>
      <c r="C211" s="182">
        <f>INDEX(Data[FY2026 RPDC Total],MATCH(A211,Data[Label],0))+INDEX(Data[FY2026 RPDC Budget Guarantee],MATCH(A211,Data[Label],0))</f>
        <v>4201502</v>
      </c>
      <c r="D211" s="182">
        <f>'FY2027 Categoricals Report'!L211</f>
        <v>878421</v>
      </c>
      <c r="E211" s="182">
        <f>ROUND((INDEX(Data[FY2026 Media Services],MATCH(A211,Data[Label],0))+INDEX(Data[FY2026 Ed Services],MATCH(A211,Data[Label],0)))*B211,0)</f>
        <v>72197</v>
      </c>
      <c r="F211" s="194">
        <f t="shared" si="20"/>
        <v>5152120</v>
      </c>
      <c r="G211" s="243">
        <f>INDEX(Data[FY2027 Budget Enrollment],MATCH(A211,Data[Label],0))</f>
        <v>504</v>
      </c>
      <c r="H211" s="182">
        <f>'FY2027 RPDC Report'!K211</f>
        <v>4243517</v>
      </c>
      <c r="I211" s="182">
        <f>'FY2027 Categoricals Report'!W211</f>
        <v>878421</v>
      </c>
      <c r="J211" s="182">
        <f>(ROUND(INDEX(Data[FY2026 Media Services],MATCH(A211,Data[Label],0))*(1+$B$6),2)+ROUND(INDEX(Data[FY2026 Ed Services],MATCH(A211,Data[Label],0))*(1+$B$6),2))*G211</f>
        <v>70983.359999999986</v>
      </c>
      <c r="K211" s="182">
        <f t="shared" si="21"/>
        <v>5192921.3600000003</v>
      </c>
      <c r="L211" s="182">
        <f t="shared" si="22"/>
        <v>40801.360000000335</v>
      </c>
      <c r="M211" s="178">
        <f t="shared" si="23"/>
        <v>7.9193341769990475E-3</v>
      </c>
      <c r="N211" s="184">
        <f t="shared" si="18"/>
        <v>-18.899999999999977</v>
      </c>
      <c r="O211" s="185">
        <f t="shared" si="19"/>
        <v>-3.6144578313252969E-2</v>
      </c>
    </row>
    <row r="212" spans="1:15" x14ac:dyDescent="0.55000000000000004">
      <c r="A212" s="197" t="s">
        <v>205</v>
      </c>
      <c r="B212" s="176">
        <f>INDEX(Data[FY2026 Budget Enrollment],MATCH(A212,Data[Label],0))</f>
        <v>703.9</v>
      </c>
      <c r="C212" s="177">
        <f>INDEX(Data[FY2026 RPDC Total],MATCH(A212,Data[Label],0))+INDEX(Data[FY2026 RPDC Budget Guarantee],MATCH(A212,Data[Label],0))</f>
        <v>5623457</v>
      </c>
      <c r="D212" s="177">
        <f>'FY2027 Categoricals Report'!L212</f>
        <v>1425295</v>
      </c>
      <c r="E212" s="177">
        <f>ROUND((INDEX(Data[FY2026 Media Services],MATCH(A212,Data[Label],0))+INDEX(Data[FY2026 Ed Services],MATCH(A212,Data[Label],0)))*B212,0)</f>
        <v>96040</v>
      </c>
      <c r="F212" s="193">
        <f t="shared" si="20"/>
        <v>7144792</v>
      </c>
      <c r="G212" s="244">
        <f>INDEX(Data[FY2027 Budget Enrollment],MATCH(A212,Data[Label],0))</f>
        <v>676.1</v>
      </c>
      <c r="H212" s="177">
        <f>'FY2027 RPDC Report'!K212</f>
        <v>5679691.9000000004</v>
      </c>
      <c r="I212" s="177">
        <f>'FY2027 Categoricals Report'!W212</f>
        <v>1425295</v>
      </c>
      <c r="J212" s="177">
        <f>(ROUND(INDEX(Data[FY2026 Media Services],MATCH(A212,Data[Label],0))*(1+$B$6),2)+ROUND(INDEX(Data[FY2026 Ed Services],MATCH(A212,Data[Label],0))*(1+$B$6),2))*G212</f>
        <v>94092.837000000014</v>
      </c>
      <c r="K212" s="177">
        <f t="shared" si="21"/>
        <v>7199079.7370000007</v>
      </c>
      <c r="L212" s="177">
        <f t="shared" si="22"/>
        <v>54287.737000000663</v>
      </c>
      <c r="M212" s="178">
        <f t="shared" si="23"/>
        <v>7.5982249728194558E-3</v>
      </c>
      <c r="N212" s="179">
        <f t="shared" si="18"/>
        <v>-27.799999999999955</v>
      </c>
      <c r="O212" s="180">
        <f t="shared" si="19"/>
        <v>-3.9494246341809855E-2</v>
      </c>
    </row>
    <row r="213" spans="1:15" x14ac:dyDescent="0.55000000000000004">
      <c r="A213" s="198" t="s">
        <v>206</v>
      </c>
      <c r="B213" s="181">
        <f>INDEX(Data[FY2026 Budget Enrollment],MATCH(A213,Data[Label],0))</f>
        <v>1108.4000000000001</v>
      </c>
      <c r="C213" s="182">
        <f>INDEX(Data[FY2026 RPDC Total],MATCH(A213,Data[Label],0))+INDEX(Data[FY2026 RPDC Budget Guarantee],MATCH(A213,Data[Label],0))</f>
        <v>8908211</v>
      </c>
      <c r="D213" s="182">
        <f>'FY2027 Categoricals Report'!L213</f>
        <v>1572149</v>
      </c>
      <c r="E213" s="182">
        <f>ROUND((INDEX(Data[FY2026 Media Services],MATCH(A213,Data[Label],0))+INDEX(Data[FY2026 Ed Services],MATCH(A213,Data[Label],0)))*B213,0)</f>
        <v>152904</v>
      </c>
      <c r="F213" s="194">
        <f t="shared" si="20"/>
        <v>10633264</v>
      </c>
      <c r="G213" s="243">
        <f>INDEX(Data[FY2027 Budget Enrollment],MATCH(A213,Data[Label],0))</f>
        <v>1081.2</v>
      </c>
      <c r="H213" s="182">
        <f>'FY2027 RPDC Report'!K213</f>
        <v>8997293.4000000004</v>
      </c>
      <c r="I213" s="182">
        <f>'FY2027 Categoricals Report'!W213</f>
        <v>1572149</v>
      </c>
      <c r="J213" s="182">
        <f>(ROUND(INDEX(Data[FY2026 Media Services],MATCH(A213,Data[Label],0))*(1+$B$6),2)+ROUND(INDEX(Data[FY2026 Ed Services],MATCH(A213,Data[Label],0))*(1+$B$6),2))*G213</f>
        <v>152135.65199999997</v>
      </c>
      <c r="K213" s="182">
        <f t="shared" si="21"/>
        <v>10721578.052000001</v>
      </c>
      <c r="L213" s="182">
        <f t="shared" si="22"/>
        <v>88314.052000001073</v>
      </c>
      <c r="M213" s="178">
        <f t="shared" si="23"/>
        <v>8.3054508944761518E-3</v>
      </c>
      <c r="N213" s="184">
        <f t="shared" si="18"/>
        <v>-27.200000000000045</v>
      </c>
      <c r="O213" s="185">
        <f t="shared" si="19"/>
        <v>-2.4539877300613536E-2</v>
      </c>
    </row>
    <row r="214" spans="1:15" x14ac:dyDescent="0.55000000000000004">
      <c r="A214" s="197" t="s">
        <v>207</v>
      </c>
      <c r="B214" s="176">
        <f>INDEX(Data[FY2026 Budget Enrollment],MATCH(A214,Data[Label],0))</f>
        <v>455.8</v>
      </c>
      <c r="C214" s="177">
        <f>INDEX(Data[FY2026 RPDC Total],MATCH(A214,Data[Label],0))+INDEX(Data[FY2026 RPDC Budget Guarantee],MATCH(A214,Data[Label],0))</f>
        <v>3765290</v>
      </c>
      <c r="D214" s="177">
        <f>'FY2027 Categoricals Report'!L214</f>
        <v>840724</v>
      </c>
      <c r="E214" s="177">
        <f>ROUND((INDEX(Data[FY2026 Media Services],MATCH(A214,Data[Label],0))+INDEX(Data[FY2026 Ed Services],MATCH(A214,Data[Label],0)))*B214,0)</f>
        <v>62932</v>
      </c>
      <c r="F214" s="193">
        <f t="shared" si="20"/>
        <v>4668946</v>
      </c>
      <c r="G214" s="244">
        <f>INDEX(Data[FY2027 Budget Enrollment],MATCH(A214,Data[Label],0))</f>
        <v>448.2</v>
      </c>
      <c r="H214" s="177">
        <f>'FY2027 RPDC Report'!K214</f>
        <v>3709104.4</v>
      </c>
      <c r="I214" s="177">
        <f>'FY2027 Categoricals Report'!W214</f>
        <v>837873</v>
      </c>
      <c r="J214" s="177">
        <f>(ROUND(INDEX(Data[FY2026 Media Services],MATCH(A214,Data[Label],0))*(1+$B$6),2)+ROUND(INDEX(Data[FY2026 Ed Services],MATCH(A214,Data[Label],0))*(1+$B$6),2))*G214</f>
        <v>63124.48799999999</v>
      </c>
      <c r="K214" s="177">
        <f t="shared" si="21"/>
        <v>4610101.8880000003</v>
      </c>
      <c r="L214" s="177">
        <f t="shared" si="22"/>
        <v>-58844.111999999732</v>
      </c>
      <c r="M214" s="178">
        <f t="shared" si="23"/>
        <v>-1.2603296761196153E-2</v>
      </c>
      <c r="N214" s="179">
        <f t="shared" si="18"/>
        <v>-7.6000000000000227</v>
      </c>
      <c r="O214" s="180">
        <f t="shared" si="19"/>
        <v>-1.6673979815708694E-2</v>
      </c>
    </row>
    <row r="215" spans="1:15" x14ac:dyDescent="0.55000000000000004">
      <c r="A215" s="198" t="s">
        <v>208</v>
      </c>
      <c r="B215" s="181">
        <f>INDEX(Data[FY2026 Budget Enrollment],MATCH(A215,Data[Label],0))</f>
        <v>231.5</v>
      </c>
      <c r="C215" s="182">
        <f>INDEX(Data[FY2026 RPDC Total],MATCH(A215,Data[Label],0))+INDEX(Data[FY2026 RPDC Budget Guarantee],MATCH(A215,Data[Label],0))</f>
        <v>1922808</v>
      </c>
      <c r="D215" s="182">
        <f>'FY2027 Categoricals Report'!L215</f>
        <v>497589</v>
      </c>
      <c r="E215" s="182">
        <f>ROUND((INDEX(Data[FY2026 Media Services],MATCH(A215,Data[Label],0))+INDEX(Data[FY2026 Ed Services],MATCH(A215,Data[Label],0)))*B215,0)</f>
        <v>32063</v>
      </c>
      <c r="F215" s="194">
        <f t="shared" si="20"/>
        <v>2452460</v>
      </c>
      <c r="G215" s="243">
        <f>INDEX(Data[FY2027 Budget Enrollment],MATCH(A215,Data[Label],0))</f>
        <v>225.1</v>
      </c>
      <c r="H215" s="182">
        <f>'FY2027 RPDC Report'!K215</f>
        <v>1867713.8</v>
      </c>
      <c r="I215" s="182">
        <f>'FY2027 Categoricals Report'!W215</f>
        <v>505541</v>
      </c>
      <c r="J215" s="182">
        <f>(ROUND(INDEX(Data[FY2026 Media Services],MATCH(A215,Data[Label],0))*(1+$B$6),2)+ROUND(INDEX(Data[FY2026 Ed Services],MATCH(A215,Data[Label],0))*(1+$B$6),2))*G215</f>
        <v>31799.877</v>
      </c>
      <c r="K215" s="182">
        <f t="shared" si="21"/>
        <v>2405054.6770000001</v>
      </c>
      <c r="L215" s="182">
        <f t="shared" si="22"/>
        <v>-47405.322999999858</v>
      </c>
      <c r="M215" s="178">
        <f t="shared" si="23"/>
        <v>-1.9329702828996133E-2</v>
      </c>
      <c r="N215" s="184">
        <f t="shared" si="18"/>
        <v>-6.4000000000000057</v>
      </c>
      <c r="O215" s="185">
        <f t="shared" si="19"/>
        <v>-2.7645788336933069E-2</v>
      </c>
    </row>
    <row r="216" spans="1:15" x14ac:dyDescent="0.55000000000000004">
      <c r="A216" s="197" t="s">
        <v>209</v>
      </c>
      <c r="B216" s="176">
        <f>INDEX(Data[FY2026 Budget Enrollment],MATCH(A216,Data[Label],0))</f>
        <v>558.5</v>
      </c>
      <c r="C216" s="177">
        <f>INDEX(Data[FY2026 RPDC Total],MATCH(A216,Data[Label],0))+INDEX(Data[FY2026 RPDC Budget Guarantee],MATCH(A216,Data[Label],0))</f>
        <v>4466325</v>
      </c>
      <c r="D216" s="177">
        <f>'FY2027 Categoricals Report'!L216</f>
        <v>837586</v>
      </c>
      <c r="E216" s="177">
        <f>ROUND((INDEX(Data[FY2026 Media Services],MATCH(A216,Data[Label],0))+INDEX(Data[FY2026 Ed Services],MATCH(A216,Data[Label],0)))*B216,0)</f>
        <v>76202</v>
      </c>
      <c r="F216" s="193">
        <f t="shared" si="20"/>
        <v>5380113</v>
      </c>
      <c r="G216" s="244">
        <f>INDEX(Data[FY2027 Budget Enrollment],MATCH(A216,Data[Label],0))</f>
        <v>560.4</v>
      </c>
      <c r="H216" s="177">
        <f>'FY2027 RPDC Report'!K216</f>
        <v>4571182.8</v>
      </c>
      <c r="I216" s="177">
        <f>'FY2027 Categoricals Report'!W216</f>
        <v>855835</v>
      </c>
      <c r="J216" s="177">
        <f>(ROUND(INDEX(Data[FY2026 Media Services],MATCH(A216,Data[Label],0))*(1+$B$6),2)+ROUND(INDEX(Data[FY2026 Ed Services],MATCH(A216,Data[Label],0))*(1+$B$6),2))*G216</f>
        <v>77990.868000000002</v>
      </c>
      <c r="K216" s="177">
        <f t="shared" si="21"/>
        <v>5505008.6679999996</v>
      </c>
      <c r="L216" s="177">
        <f t="shared" si="22"/>
        <v>124895.6679999996</v>
      </c>
      <c r="M216" s="178">
        <f t="shared" si="23"/>
        <v>2.3214320591407579E-2</v>
      </c>
      <c r="N216" s="179">
        <f t="shared" si="18"/>
        <v>1.8999999999999773</v>
      </c>
      <c r="O216" s="180">
        <f t="shared" si="19"/>
        <v>3.401969561324937E-3</v>
      </c>
    </row>
    <row r="217" spans="1:15" x14ac:dyDescent="0.55000000000000004">
      <c r="A217" s="198" t="s">
        <v>210</v>
      </c>
      <c r="B217" s="181">
        <f>INDEX(Data[FY2026 Budget Enrollment],MATCH(A217,Data[Label],0))</f>
        <v>471.6</v>
      </c>
      <c r="C217" s="182">
        <f>INDEX(Data[FY2026 RPDC Total],MATCH(A217,Data[Label],0))+INDEX(Data[FY2026 RPDC Budget Guarantee],MATCH(A217,Data[Label],0))</f>
        <v>3827034</v>
      </c>
      <c r="D217" s="182">
        <f>'FY2027 Categoricals Report'!L217</f>
        <v>958901</v>
      </c>
      <c r="E217" s="182">
        <f>ROUND((INDEX(Data[FY2026 Media Services],MATCH(A217,Data[Label],0))+INDEX(Data[FY2026 Ed Services],MATCH(A217,Data[Label],0)))*B217,0)</f>
        <v>64322</v>
      </c>
      <c r="F217" s="194">
        <f t="shared" si="20"/>
        <v>4850257</v>
      </c>
      <c r="G217" s="243">
        <f>INDEX(Data[FY2027 Budget Enrollment],MATCH(A217,Data[Label],0))</f>
        <v>439.6</v>
      </c>
      <c r="H217" s="182">
        <f>'FY2027 RPDC Report'!K217</f>
        <v>3865304</v>
      </c>
      <c r="I217" s="182">
        <f>'FY2027 Categoricals Report'!W217</f>
        <v>958901</v>
      </c>
      <c r="J217" s="182">
        <f>(ROUND(INDEX(Data[FY2026 Media Services],MATCH(A217,Data[Label],0))*(1+$B$6),2)+ROUND(INDEX(Data[FY2026 Ed Services],MATCH(A217,Data[Label],0))*(1+$B$6),2))*G217</f>
        <v>61157.152000000002</v>
      </c>
      <c r="K217" s="182">
        <f t="shared" si="21"/>
        <v>4885362.1519999998</v>
      </c>
      <c r="L217" s="182">
        <f t="shared" si="22"/>
        <v>35105.151999999769</v>
      </c>
      <c r="M217" s="178">
        <f t="shared" si="23"/>
        <v>7.2377921417359466E-3</v>
      </c>
      <c r="N217" s="184">
        <f t="shared" si="18"/>
        <v>-32</v>
      </c>
      <c r="O217" s="185">
        <f t="shared" si="19"/>
        <v>-6.7854113655640369E-2</v>
      </c>
    </row>
    <row r="218" spans="1:15" x14ac:dyDescent="0.55000000000000004">
      <c r="A218" s="197" t="s">
        <v>211</v>
      </c>
      <c r="B218" s="176">
        <f>INDEX(Data[FY2026 Budget Enrollment],MATCH(A218,Data[Label],0))</f>
        <v>2191.6999999999998</v>
      </c>
      <c r="C218" s="177">
        <f>INDEX(Data[FY2026 RPDC Total],MATCH(A218,Data[Label],0))+INDEX(Data[FY2026 RPDC Budget Guarantee],MATCH(A218,Data[Label],0))</f>
        <v>17507300</v>
      </c>
      <c r="D218" s="177">
        <f>'FY2027 Categoricals Report'!L218</f>
        <v>2911468</v>
      </c>
      <c r="E218" s="177">
        <f>ROUND((INDEX(Data[FY2026 Media Services],MATCH(A218,Data[Label],0))+INDEX(Data[FY2026 Ed Services],MATCH(A218,Data[Label],0)))*B218,0)</f>
        <v>298378</v>
      </c>
      <c r="F218" s="193">
        <f t="shared" si="20"/>
        <v>20717146</v>
      </c>
      <c r="G218" s="244">
        <f>INDEX(Data[FY2027 Budget Enrollment],MATCH(A218,Data[Label],0))</f>
        <v>2156.9</v>
      </c>
      <c r="H218" s="177">
        <f>'FY2027 RPDC Report'!K218</f>
        <v>17682373.199999999</v>
      </c>
      <c r="I218" s="177">
        <f>'FY2027 Categoricals Report'!W218</f>
        <v>2966527</v>
      </c>
      <c r="J218" s="177">
        <f>(ROUND(INDEX(Data[FY2026 Media Services],MATCH(A218,Data[Label],0))*(1+$B$6),2)+ROUND(INDEX(Data[FY2026 Ed Services],MATCH(A218,Data[Label],0))*(1+$B$6),2))*G218</f>
        <v>299528.70300000004</v>
      </c>
      <c r="K218" s="177">
        <f t="shared" si="21"/>
        <v>20948428.903000001</v>
      </c>
      <c r="L218" s="177">
        <f t="shared" si="22"/>
        <v>231282.90300000086</v>
      </c>
      <c r="M218" s="178">
        <f t="shared" si="23"/>
        <v>1.1163839990315311E-2</v>
      </c>
      <c r="N218" s="179">
        <f t="shared" si="18"/>
        <v>-34.799999999999727</v>
      </c>
      <c r="O218" s="180">
        <f t="shared" si="19"/>
        <v>-1.5878085504402853E-2</v>
      </c>
    </row>
    <row r="219" spans="1:15" x14ac:dyDescent="0.55000000000000004">
      <c r="A219" s="198" t="s">
        <v>212</v>
      </c>
      <c r="B219" s="181">
        <f>INDEX(Data[FY2026 Budget Enrollment],MATCH(A219,Data[Label],0))</f>
        <v>2991.3</v>
      </c>
      <c r="C219" s="182">
        <f>INDEX(Data[FY2026 RPDC Total],MATCH(A219,Data[Label],0))+INDEX(Data[FY2026 RPDC Budget Guarantee],MATCH(A219,Data[Label],0))</f>
        <v>23894504</v>
      </c>
      <c r="D219" s="182">
        <f>'FY2027 Categoricals Report'!L219</f>
        <v>4022165</v>
      </c>
      <c r="E219" s="182">
        <f>ROUND((INDEX(Data[FY2026 Media Services],MATCH(A219,Data[Label],0))+INDEX(Data[FY2026 Ed Services],MATCH(A219,Data[Label],0)))*B219,0)</f>
        <v>405800</v>
      </c>
      <c r="F219" s="194">
        <f t="shared" si="20"/>
        <v>28322469</v>
      </c>
      <c r="G219" s="243">
        <f>INDEX(Data[FY2027 Budget Enrollment],MATCH(A219,Data[Label],0))</f>
        <v>2928.1</v>
      </c>
      <c r="H219" s="182">
        <f>'FY2027 RPDC Report'!K219</f>
        <v>24133448.800000001</v>
      </c>
      <c r="I219" s="182">
        <f>'FY2027 Categoricals Report'!W219</f>
        <v>4073641</v>
      </c>
      <c r="J219" s="182">
        <f>(ROUND(INDEX(Data[FY2026 Media Services],MATCH(A219,Data[Label],0))*(1+$B$6),2)+ROUND(INDEX(Data[FY2026 Ed Services],MATCH(A219,Data[Label],0))*(1+$B$6),2))*G219</f>
        <v>405190.478</v>
      </c>
      <c r="K219" s="182">
        <f t="shared" si="21"/>
        <v>28612280.278000001</v>
      </c>
      <c r="L219" s="182">
        <f t="shared" si="22"/>
        <v>289811.27800000086</v>
      </c>
      <c r="M219" s="178">
        <f t="shared" si="23"/>
        <v>1.0232556985056665E-2</v>
      </c>
      <c r="N219" s="184">
        <f t="shared" si="18"/>
        <v>-63.200000000000273</v>
      </c>
      <c r="O219" s="185">
        <f t="shared" si="19"/>
        <v>-2.1127937685956028E-2</v>
      </c>
    </row>
    <row r="220" spans="1:15" x14ac:dyDescent="0.55000000000000004">
      <c r="A220" s="197" t="s">
        <v>213</v>
      </c>
      <c r="B220" s="176">
        <f>INDEX(Data[FY2026 Budget Enrollment],MATCH(A220,Data[Label],0))</f>
        <v>452.1</v>
      </c>
      <c r="C220" s="177">
        <f>INDEX(Data[FY2026 RPDC Total],MATCH(A220,Data[Label],0))+INDEX(Data[FY2026 RPDC Budget Guarantee],MATCH(A220,Data[Label],0))</f>
        <v>3611375</v>
      </c>
      <c r="D220" s="177">
        <f>'FY2027 Categoricals Report'!L220</f>
        <v>802472</v>
      </c>
      <c r="E220" s="177">
        <f>ROUND((INDEX(Data[FY2026 Media Services],MATCH(A220,Data[Label],0))+INDEX(Data[FY2026 Ed Services],MATCH(A220,Data[Label],0)))*B220,0)</f>
        <v>62421</v>
      </c>
      <c r="F220" s="193">
        <f t="shared" si="20"/>
        <v>4476268</v>
      </c>
      <c r="G220" s="244">
        <f>INDEX(Data[FY2027 Budget Enrollment],MATCH(A220,Data[Label],0))</f>
        <v>461.3</v>
      </c>
      <c r="H220" s="177">
        <f>'FY2027 RPDC Report'!K220</f>
        <v>3758672.4</v>
      </c>
      <c r="I220" s="177">
        <f>'FY2027 Categoricals Report'!W220</f>
        <v>837313</v>
      </c>
      <c r="J220" s="177">
        <f>(ROUND(INDEX(Data[FY2026 Media Services],MATCH(A220,Data[Label],0))*(1+$B$6),2)+ROUND(INDEX(Data[FY2026 Ed Services],MATCH(A220,Data[Label],0))*(1+$B$6),2))*G220</f>
        <v>64969.491999999991</v>
      </c>
      <c r="K220" s="177">
        <f t="shared" si="21"/>
        <v>4660954.892</v>
      </c>
      <c r="L220" s="177">
        <f t="shared" si="22"/>
        <v>184686.89199999999</v>
      </c>
      <c r="M220" s="178">
        <f t="shared" si="23"/>
        <v>4.1259123001571842E-2</v>
      </c>
      <c r="N220" s="179">
        <f t="shared" si="18"/>
        <v>9.1999999999999886</v>
      </c>
      <c r="O220" s="180">
        <f t="shared" si="19"/>
        <v>2.0349480203494776E-2</v>
      </c>
    </row>
    <row r="221" spans="1:15" x14ac:dyDescent="0.55000000000000004">
      <c r="A221" s="198" t="s">
        <v>214</v>
      </c>
      <c r="B221" s="181">
        <f>INDEX(Data[FY2026 Budget Enrollment],MATCH(A221,Data[Label],0))</f>
        <v>391</v>
      </c>
      <c r="C221" s="182">
        <f>INDEX(Data[FY2026 RPDC Total],MATCH(A221,Data[Label],0))+INDEX(Data[FY2026 RPDC Budget Guarantee],MATCH(A221,Data[Label],0))</f>
        <v>3152025</v>
      </c>
      <c r="D221" s="182">
        <f>'FY2027 Categoricals Report'!L221</f>
        <v>757975</v>
      </c>
      <c r="E221" s="182">
        <f>ROUND((INDEX(Data[FY2026 Media Services],MATCH(A221,Data[Label],0))+INDEX(Data[FY2026 Ed Services],MATCH(A221,Data[Label],0)))*B221,0)</f>
        <v>54154</v>
      </c>
      <c r="F221" s="194">
        <f t="shared" si="20"/>
        <v>3964154</v>
      </c>
      <c r="G221" s="243">
        <f>INDEX(Data[FY2027 Budget Enrollment],MATCH(A221,Data[Label],0))</f>
        <v>371</v>
      </c>
      <c r="H221" s="182">
        <f>'FY2027 RPDC Report'!K221</f>
        <v>3166388</v>
      </c>
      <c r="I221" s="182">
        <f>'FY2027 Categoricals Report'!W221</f>
        <v>757975</v>
      </c>
      <c r="J221" s="182">
        <f>(ROUND(INDEX(Data[FY2026 Media Services],MATCH(A221,Data[Label],0))*(1+$B$6),2)+ROUND(INDEX(Data[FY2026 Ed Services],MATCH(A221,Data[Label],0))*(1+$B$6),2))*G221</f>
        <v>52411.170000000006</v>
      </c>
      <c r="K221" s="182">
        <f t="shared" si="21"/>
        <v>3976774.17</v>
      </c>
      <c r="L221" s="182">
        <f t="shared" si="22"/>
        <v>12620.169999999925</v>
      </c>
      <c r="M221" s="178">
        <f t="shared" si="23"/>
        <v>3.1835720812057062E-3</v>
      </c>
      <c r="N221" s="184">
        <f t="shared" si="18"/>
        <v>-20</v>
      </c>
      <c r="O221" s="185">
        <f t="shared" si="19"/>
        <v>-5.1150895140664961E-2</v>
      </c>
    </row>
    <row r="222" spans="1:15" x14ac:dyDescent="0.55000000000000004">
      <c r="A222" s="197" t="s">
        <v>215</v>
      </c>
      <c r="B222" s="176">
        <f>INDEX(Data[FY2026 Budget Enrollment],MATCH(A222,Data[Label],0))</f>
        <v>491</v>
      </c>
      <c r="C222" s="177">
        <f>INDEX(Data[FY2026 RPDC Total],MATCH(A222,Data[Label],0))+INDEX(Data[FY2026 RPDC Budget Guarantee],MATCH(A222,Data[Label],0))</f>
        <v>4047790</v>
      </c>
      <c r="D222" s="177">
        <f>'FY2027 Categoricals Report'!L222</f>
        <v>1018365</v>
      </c>
      <c r="E222" s="177">
        <f>ROUND((INDEX(Data[FY2026 Media Services],MATCH(A222,Data[Label],0))+INDEX(Data[FY2026 Ed Services],MATCH(A222,Data[Label],0)))*B222,0)</f>
        <v>66609</v>
      </c>
      <c r="F222" s="193">
        <f t="shared" si="20"/>
        <v>5132764</v>
      </c>
      <c r="G222" s="244">
        <f>INDEX(Data[FY2027 Budget Enrollment],MATCH(A222,Data[Label],0))</f>
        <v>467.2</v>
      </c>
      <c r="H222" s="177">
        <f>'FY2027 RPDC Report'!K222</f>
        <v>4001001.6</v>
      </c>
      <c r="I222" s="177">
        <f>'FY2027 Categoricals Report'!W222</f>
        <v>1015670</v>
      </c>
      <c r="J222" s="177">
        <f>(ROUND(INDEX(Data[FY2026 Media Services],MATCH(A222,Data[Label],0))*(1+$B$6),2)+ROUND(INDEX(Data[FY2026 Ed Services],MATCH(A222,Data[Label],0))*(1+$B$6),2))*G222</f>
        <v>64651.135999999999</v>
      </c>
      <c r="K222" s="177">
        <f t="shared" si="21"/>
        <v>5081322.7359999996</v>
      </c>
      <c r="L222" s="177">
        <f t="shared" si="22"/>
        <v>-51441.264000000432</v>
      </c>
      <c r="M222" s="178">
        <f t="shared" si="23"/>
        <v>-1.0022137000649247E-2</v>
      </c>
      <c r="N222" s="179">
        <f t="shared" si="18"/>
        <v>-23.800000000000011</v>
      </c>
      <c r="O222" s="180">
        <f t="shared" si="19"/>
        <v>-4.8472505091649715E-2</v>
      </c>
    </row>
    <row r="223" spans="1:15" x14ac:dyDescent="0.55000000000000004">
      <c r="A223" s="198" t="s">
        <v>216</v>
      </c>
      <c r="B223" s="181">
        <f>INDEX(Data[FY2026 Budget Enrollment],MATCH(A223,Data[Label],0))</f>
        <v>489.6</v>
      </c>
      <c r="C223" s="182">
        <f>INDEX(Data[FY2026 RPDC Total],MATCH(A223,Data[Label],0))+INDEX(Data[FY2026 RPDC Budget Guarantee],MATCH(A223,Data[Label],0))</f>
        <v>4098837</v>
      </c>
      <c r="D223" s="182">
        <f>'FY2027 Categoricals Report'!L223</f>
        <v>797152</v>
      </c>
      <c r="E223" s="182">
        <f>ROUND((INDEX(Data[FY2026 Media Services],MATCH(A223,Data[Label],0))+INDEX(Data[FY2026 Ed Services],MATCH(A223,Data[Label],0)))*B223,0)</f>
        <v>67599</v>
      </c>
      <c r="F223" s="194">
        <f t="shared" si="20"/>
        <v>4963588</v>
      </c>
      <c r="G223" s="243">
        <f>INDEX(Data[FY2027 Budget Enrollment],MATCH(A223,Data[Label],0))</f>
        <v>512.6</v>
      </c>
      <c r="H223" s="182">
        <f>'FY2027 RPDC Report'!K223</f>
        <v>4220748.4000000004</v>
      </c>
      <c r="I223" s="182">
        <f>'FY2027 Categoricals Report'!W223</f>
        <v>840162</v>
      </c>
      <c r="J223" s="182">
        <f>(ROUND(INDEX(Data[FY2026 Media Services],MATCH(A223,Data[Label],0))*(1+$B$6),2)+ROUND(INDEX(Data[FY2026 Ed Services],MATCH(A223,Data[Label],0))*(1+$B$6),2))*G223</f>
        <v>72194.583999999988</v>
      </c>
      <c r="K223" s="182">
        <f t="shared" si="21"/>
        <v>5133104.9840000002</v>
      </c>
      <c r="L223" s="182">
        <f t="shared" si="22"/>
        <v>169516.98400000017</v>
      </c>
      <c r="M223" s="178">
        <f t="shared" si="23"/>
        <v>3.4152106097444061E-2</v>
      </c>
      <c r="N223" s="184">
        <f t="shared" si="18"/>
        <v>23</v>
      </c>
      <c r="O223" s="185">
        <f t="shared" si="19"/>
        <v>4.6977124183006536E-2</v>
      </c>
    </row>
    <row r="224" spans="1:15" x14ac:dyDescent="0.55000000000000004">
      <c r="A224" s="197" t="s">
        <v>217</v>
      </c>
      <c r="B224" s="176">
        <f>INDEX(Data[FY2026 Budget Enrollment],MATCH(A224,Data[Label],0))</f>
        <v>3454.2</v>
      </c>
      <c r="C224" s="177">
        <f>INDEX(Data[FY2026 RPDC Total],MATCH(A224,Data[Label],0))+INDEX(Data[FY2026 RPDC Budget Guarantee],MATCH(A224,Data[Label],0))</f>
        <v>27592150</v>
      </c>
      <c r="D224" s="177">
        <f>'FY2027 Categoricals Report'!L224</f>
        <v>4603115</v>
      </c>
      <c r="E224" s="177">
        <f>ROUND((INDEX(Data[FY2026 Media Services],MATCH(A224,Data[Label],0))+INDEX(Data[FY2026 Ed Services],MATCH(A224,Data[Label],0)))*B224,0)</f>
        <v>470255</v>
      </c>
      <c r="F224" s="193">
        <f t="shared" si="20"/>
        <v>32665520</v>
      </c>
      <c r="G224" s="244">
        <f>INDEX(Data[FY2027 Budget Enrollment],MATCH(A224,Data[Label],0))</f>
        <v>3494.8</v>
      </c>
      <c r="H224" s="177">
        <f>'FY2027 RPDC Report'!K224</f>
        <v>28475630.400000002</v>
      </c>
      <c r="I224" s="177">
        <f>'FY2027 Categoricals Report'!W224</f>
        <v>4885486</v>
      </c>
      <c r="J224" s="177">
        <f>(ROUND(INDEX(Data[FY2026 Media Services],MATCH(A224,Data[Label],0))*(1+$B$6),2)+ROUND(INDEX(Data[FY2026 Ed Services],MATCH(A224,Data[Label],0))*(1+$B$6),2))*G224</f>
        <v>485322.87600000005</v>
      </c>
      <c r="K224" s="177">
        <f t="shared" si="21"/>
        <v>33846439.276000001</v>
      </c>
      <c r="L224" s="177">
        <f t="shared" si="22"/>
        <v>1180919.2760000005</v>
      </c>
      <c r="M224" s="178">
        <f t="shared" si="23"/>
        <v>3.6151859085665879E-2</v>
      </c>
      <c r="N224" s="179">
        <f t="shared" si="18"/>
        <v>40.600000000000364</v>
      </c>
      <c r="O224" s="180">
        <f t="shared" si="19"/>
        <v>1.1753806959643438E-2</v>
      </c>
    </row>
    <row r="225" spans="1:15" x14ac:dyDescent="0.55000000000000004">
      <c r="A225" s="198" t="s">
        <v>218</v>
      </c>
      <c r="B225" s="181">
        <f>INDEX(Data[FY2026 Budget Enrollment],MATCH(A225,Data[Label],0))</f>
        <v>907</v>
      </c>
      <c r="C225" s="182">
        <f>INDEX(Data[FY2026 RPDC Total],MATCH(A225,Data[Label],0))+INDEX(Data[FY2026 RPDC Budget Guarantee],MATCH(A225,Data[Label],0))</f>
        <v>7245116</v>
      </c>
      <c r="D225" s="182">
        <f>'FY2027 Categoricals Report'!L225</f>
        <v>1396693</v>
      </c>
      <c r="E225" s="182">
        <f>ROUND((INDEX(Data[FY2026 Media Services],MATCH(A225,Data[Label],0))+INDEX(Data[FY2026 Ed Services],MATCH(A225,Data[Label],0)))*B225,0)</f>
        <v>125465</v>
      </c>
      <c r="F225" s="194">
        <f t="shared" si="20"/>
        <v>8767274</v>
      </c>
      <c r="G225" s="243">
        <f>INDEX(Data[FY2027 Budget Enrollment],MATCH(A225,Data[Label],0))</f>
        <v>873.2</v>
      </c>
      <c r="H225" s="182">
        <f>'FY2027 RPDC Report'!K225</f>
        <v>7317567.6000000006</v>
      </c>
      <c r="I225" s="182">
        <f>'FY2027 Categoricals Report'!W225</f>
        <v>1396693</v>
      </c>
      <c r="J225" s="182">
        <f>(ROUND(INDEX(Data[FY2026 Media Services],MATCH(A225,Data[Label],0))*(1+$B$6),2)+ROUND(INDEX(Data[FY2026 Ed Services],MATCH(A225,Data[Label],0))*(1+$B$6),2))*G225</f>
        <v>123208.52</v>
      </c>
      <c r="K225" s="182">
        <f t="shared" si="21"/>
        <v>8837469.120000001</v>
      </c>
      <c r="L225" s="182">
        <f t="shared" si="22"/>
        <v>70195.120000001043</v>
      </c>
      <c r="M225" s="178">
        <f t="shared" si="23"/>
        <v>8.0064932383772935E-3</v>
      </c>
      <c r="N225" s="184">
        <f t="shared" si="18"/>
        <v>-33.799999999999955</v>
      </c>
      <c r="O225" s="185">
        <f t="shared" si="19"/>
        <v>-3.7265711135611855E-2</v>
      </c>
    </row>
    <row r="226" spans="1:15" x14ac:dyDescent="0.55000000000000004">
      <c r="A226" s="197" t="s">
        <v>219</v>
      </c>
      <c r="B226" s="176">
        <f>INDEX(Data[FY2026 Budget Enrollment],MATCH(A226,Data[Label],0))</f>
        <v>1269.8</v>
      </c>
      <c r="C226" s="177">
        <f>INDEX(Data[FY2026 RPDC Total],MATCH(A226,Data[Label],0))+INDEX(Data[FY2026 RPDC Budget Guarantee],MATCH(A226,Data[Label],0))</f>
        <v>10432921</v>
      </c>
      <c r="D226" s="177">
        <f>'FY2027 Categoricals Report'!L226</f>
        <v>1797234</v>
      </c>
      <c r="E226" s="177">
        <f>ROUND((INDEX(Data[FY2026 Media Services],MATCH(A226,Data[Label],0))+INDEX(Data[FY2026 Ed Services],MATCH(A226,Data[Label],0)))*B226,0)</f>
        <v>175169</v>
      </c>
      <c r="F226" s="193">
        <f t="shared" si="20"/>
        <v>12405324</v>
      </c>
      <c r="G226" s="244">
        <f>INDEX(Data[FY2027 Budget Enrollment],MATCH(A226,Data[Label],0))</f>
        <v>1229</v>
      </c>
      <c r="H226" s="177">
        <f>'FY2027 RPDC Report'!K226</f>
        <v>10245876</v>
      </c>
      <c r="I226" s="177">
        <f>'FY2027 Categoricals Report'!W226</f>
        <v>1785744</v>
      </c>
      <c r="J226" s="177">
        <f>(ROUND(INDEX(Data[FY2026 Media Services],MATCH(A226,Data[Label],0))*(1+$B$6),2)+ROUND(INDEX(Data[FY2026 Ed Services],MATCH(A226,Data[Label],0))*(1+$B$6),2))*G226</f>
        <v>172932.58999999997</v>
      </c>
      <c r="K226" s="177">
        <f t="shared" si="21"/>
        <v>12204552.59</v>
      </c>
      <c r="L226" s="177">
        <f t="shared" si="22"/>
        <v>-200771.41000000015</v>
      </c>
      <c r="M226" s="178">
        <f t="shared" si="23"/>
        <v>-1.6184293937022535E-2</v>
      </c>
      <c r="N226" s="179">
        <f t="shared" si="18"/>
        <v>-40.799999999999955</v>
      </c>
      <c r="O226" s="180">
        <f t="shared" si="19"/>
        <v>-3.2131044258938382E-2</v>
      </c>
    </row>
    <row r="227" spans="1:15" x14ac:dyDescent="0.55000000000000004">
      <c r="A227" s="198" t="s">
        <v>220</v>
      </c>
      <c r="B227" s="181">
        <f>INDEX(Data[FY2026 Budget Enrollment],MATCH(A227,Data[Label],0))</f>
        <v>551</v>
      </c>
      <c r="C227" s="182">
        <f>INDEX(Data[FY2026 RPDC Total],MATCH(A227,Data[Label],0))+INDEX(Data[FY2026 RPDC Budget Guarantee],MATCH(A227,Data[Label],0))</f>
        <v>4665885</v>
      </c>
      <c r="D227" s="182">
        <f>'FY2027 Categoricals Report'!L227</f>
        <v>915678</v>
      </c>
      <c r="E227" s="182">
        <f>ROUND((INDEX(Data[FY2026 Media Services],MATCH(A227,Data[Label],0))+INDEX(Data[FY2026 Ed Services],MATCH(A227,Data[Label],0)))*B227,0)</f>
        <v>75013</v>
      </c>
      <c r="F227" s="194">
        <f t="shared" si="20"/>
        <v>5656576</v>
      </c>
      <c r="G227" s="243">
        <f>INDEX(Data[FY2027 Budget Enrollment],MATCH(A227,Data[Label],0))</f>
        <v>521.20000000000005</v>
      </c>
      <c r="H227" s="182">
        <f>'FY2027 RPDC Report'!K227</f>
        <v>4445401.6000000006</v>
      </c>
      <c r="I227" s="182">
        <f>'FY2027 Categoricals Report'!W227</f>
        <v>904113</v>
      </c>
      <c r="J227" s="182">
        <f>(ROUND(INDEX(Data[FY2026 Media Services],MATCH(A227,Data[Label],0))*(1+$B$6),2)+ROUND(INDEX(Data[FY2026 Ed Services],MATCH(A227,Data[Label],0))*(1+$B$6),2))*G227</f>
        <v>72379.044000000009</v>
      </c>
      <c r="K227" s="182">
        <f t="shared" si="21"/>
        <v>5421893.6440000003</v>
      </c>
      <c r="L227" s="182">
        <f t="shared" si="22"/>
        <v>-234682.35599999968</v>
      </c>
      <c r="M227" s="178">
        <f t="shared" si="23"/>
        <v>-4.14884120711893E-2</v>
      </c>
      <c r="N227" s="184">
        <f t="shared" si="18"/>
        <v>-29.799999999999955</v>
      </c>
      <c r="O227" s="185">
        <f t="shared" si="19"/>
        <v>-5.4083484573502642E-2</v>
      </c>
    </row>
    <row r="228" spans="1:15" x14ac:dyDescent="0.55000000000000004">
      <c r="A228" s="197" t="s">
        <v>221</v>
      </c>
      <c r="B228" s="176">
        <f>INDEX(Data[FY2026 Budget Enrollment],MATCH(A228,Data[Label],0))</f>
        <v>1015.4</v>
      </c>
      <c r="C228" s="177">
        <f>INDEX(Data[FY2026 RPDC Total],MATCH(A228,Data[Label],0))+INDEX(Data[FY2026 RPDC Budget Guarantee],MATCH(A228,Data[Label],0))</f>
        <v>8111015</v>
      </c>
      <c r="D228" s="177">
        <f>'FY2027 Categoricals Report'!L228</f>
        <v>1615422</v>
      </c>
      <c r="E228" s="177">
        <f>ROUND((INDEX(Data[FY2026 Media Services],MATCH(A228,Data[Label],0))+INDEX(Data[FY2026 Ed Services],MATCH(A228,Data[Label],0)))*B228,0)</f>
        <v>140633</v>
      </c>
      <c r="F228" s="193">
        <f t="shared" si="20"/>
        <v>9867070</v>
      </c>
      <c r="G228" s="244">
        <f>INDEX(Data[FY2027 Budget Enrollment],MATCH(A228,Data[Label],0))</f>
        <v>976.7</v>
      </c>
      <c r="H228" s="177">
        <f>'FY2027 RPDC Report'!K228</f>
        <v>8192125.6000000006</v>
      </c>
      <c r="I228" s="177">
        <f>'FY2027 Categoricals Report'!W228</f>
        <v>1615422</v>
      </c>
      <c r="J228" s="177">
        <f>(ROUND(INDEX(Data[FY2026 Media Services],MATCH(A228,Data[Label],0))*(1+$B$6),2)+ROUND(INDEX(Data[FY2026 Ed Services],MATCH(A228,Data[Label],0))*(1+$B$6),2))*G228</f>
        <v>137978.40900000001</v>
      </c>
      <c r="K228" s="177">
        <f t="shared" si="21"/>
        <v>9945526.0089999996</v>
      </c>
      <c r="L228" s="177">
        <f t="shared" si="22"/>
        <v>78456.008999999613</v>
      </c>
      <c r="M228" s="178">
        <f t="shared" si="23"/>
        <v>7.9512974976360378E-3</v>
      </c>
      <c r="N228" s="179">
        <f t="shared" si="18"/>
        <v>-38.699999999999932</v>
      </c>
      <c r="O228" s="180">
        <f t="shared" si="19"/>
        <v>-3.811305889304701E-2</v>
      </c>
    </row>
    <row r="229" spans="1:15" x14ac:dyDescent="0.55000000000000004">
      <c r="A229" s="198" t="s">
        <v>222</v>
      </c>
      <c r="B229" s="181">
        <f>INDEX(Data[FY2026 Budget Enrollment],MATCH(A229,Data[Label],0))</f>
        <v>193.9</v>
      </c>
      <c r="C229" s="182">
        <f>INDEX(Data[FY2026 RPDC Total],MATCH(A229,Data[Label],0))+INDEX(Data[FY2026 RPDC Budget Guarantee],MATCH(A229,Data[Label],0))</f>
        <v>1548873</v>
      </c>
      <c r="D229" s="182">
        <f>'FY2027 Categoricals Report'!L229</f>
        <v>411850</v>
      </c>
      <c r="E229" s="182">
        <f>ROUND((INDEX(Data[FY2026 Media Services],MATCH(A229,Data[Label],0))+INDEX(Data[FY2026 Ed Services],MATCH(A229,Data[Label],0)))*B229,0)</f>
        <v>26456</v>
      </c>
      <c r="F229" s="194">
        <f t="shared" si="20"/>
        <v>1987179</v>
      </c>
      <c r="G229" s="243">
        <f>INDEX(Data[FY2027 Budget Enrollment],MATCH(A229,Data[Label],0))</f>
        <v>181.9</v>
      </c>
      <c r="H229" s="182">
        <f>'FY2027 RPDC Report'!K229</f>
        <v>1564362.2</v>
      </c>
      <c r="I229" s="182">
        <f>'FY2027 Categoricals Report'!W229</f>
        <v>411850</v>
      </c>
      <c r="J229" s="182">
        <f>(ROUND(INDEX(Data[FY2026 Media Services],MATCH(A229,Data[Label],0))*(1+$B$6),2)+ROUND(INDEX(Data[FY2026 Ed Services],MATCH(A229,Data[Label],0))*(1+$B$6),2))*G229</f>
        <v>25315.023000000005</v>
      </c>
      <c r="K229" s="182">
        <f t="shared" si="21"/>
        <v>2001527.223</v>
      </c>
      <c r="L229" s="182">
        <f t="shared" si="22"/>
        <v>14348.222999999998</v>
      </c>
      <c r="M229" s="178">
        <f t="shared" si="23"/>
        <v>7.2203978604846357E-3</v>
      </c>
      <c r="N229" s="184">
        <f t="shared" si="18"/>
        <v>-12</v>
      </c>
      <c r="O229" s="185">
        <f t="shared" si="19"/>
        <v>-6.1887570912841666E-2</v>
      </c>
    </row>
    <row r="230" spans="1:15" x14ac:dyDescent="0.55000000000000004">
      <c r="A230" s="197" t="s">
        <v>223</v>
      </c>
      <c r="B230" s="176">
        <f>INDEX(Data[FY2026 Budget Enrollment],MATCH(A230,Data[Label],0))</f>
        <v>137</v>
      </c>
      <c r="C230" s="177">
        <f>INDEX(Data[FY2026 RPDC Total],MATCH(A230,Data[Label],0))+INDEX(Data[FY2026 RPDC Budget Guarantee],MATCH(A230,Data[Label],0))</f>
        <v>1295508</v>
      </c>
      <c r="D230" s="177">
        <f>'FY2027 Categoricals Report'!L230</f>
        <v>379904</v>
      </c>
      <c r="E230" s="177">
        <f>ROUND((INDEX(Data[FY2026 Media Services],MATCH(A230,Data[Label],0))+INDEX(Data[FY2026 Ed Services],MATCH(A230,Data[Label],0)))*B230,0)</f>
        <v>18748</v>
      </c>
      <c r="F230" s="193">
        <f t="shared" si="20"/>
        <v>1694160</v>
      </c>
      <c r="G230" s="244">
        <f>INDEX(Data[FY2027 Budget Enrollment],MATCH(A230,Data[Label],0))</f>
        <v>100</v>
      </c>
      <c r="H230" s="177">
        <f>'FY2027 RPDC Report'!K230</f>
        <v>1105300</v>
      </c>
      <c r="I230" s="177">
        <f>'FY2027 Categoricals Report'!W230</f>
        <v>369172</v>
      </c>
      <c r="J230" s="177">
        <f>(ROUND(INDEX(Data[FY2026 Media Services],MATCH(A230,Data[Label],0))*(1+$B$6),2)+ROUND(INDEX(Data[FY2026 Ed Services],MATCH(A230,Data[Label],0))*(1+$B$6),2))*G230</f>
        <v>13959</v>
      </c>
      <c r="K230" s="177">
        <f t="shared" si="21"/>
        <v>1488431</v>
      </c>
      <c r="L230" s="177">
        <f t="shared" si="22"/>
        <v>-205729</v>
      </c>
      <c r="M230" s="178">
        <f t="shared" si="23"/>
        <v>-0.12143422108891722</v>
      </c>
      <c r="N230" s="179">
        <f t="shared" si="18"/>
        <v>-37</v>
      </c>
      <c r="O230" s="180">
        <f t="shared" si="19"/>
        <v>-0.27007299270072993</v>
      </c>
    </row>
    <row r="231" spans="1:15" x14ac:dyDescent="0.55000000000000004">
      <c r="A231" s="198" t="s">
        <v>224</v>
      </c>
      <c r="B231" s="181">
        <f>INDEX(Data[FY2026 Budget Enrollment],MATCH(A231,Data[Label],0))</f>
        <v>878.4</v>
      </c>
      <c r="C231" s="182">
        <f>INDEX(Data[FY2026 RPDC Total],MATCH(A231,Data[Label],0))+INDEX(Data[FY2026 RPDC Budget Guarantee],MATCH(A231,Data[Label],0))</f>
        <v>7150478</v>
      </c>
      <c r="D231" s="182">
        <f>'FY2027 Categoricals Report'!L231</f>
        <v>1361369</v>
      </c>
      <c r="E231" s="182">
        <f>ROUND((INDEX(Data[FY2026 Media Services],MATCH(A231,Data[Label],0))+INDEX(Data[FY2026 Ed Services],MATCH(A231,Data[Label],0)))*B231,0)</f>
        <v>121281</v>
      </c>
      <c r="F231" s="194">
        <f t="shared" si="20"/>
        <v>8633128</v>
      </c>
      <c r="G231" s="243">
        <f>INDEX(Data[FY2027 Budget Enrollment],MATCH(A231,Data[Label],0))</f>
        <v>876.6</v>
      </c>
      <c r="H231" s="182">
        <f>'FY2027 RPDC Report'!K231</f>
        <v>7157439</v>
      </c>
      <c r="I231" s="182">
        <f>'FY2027 Categoricals Report'!W231</f>
        <v>1372598</v>
      </c>
      <c r="J231" s="182">
        <f>(ROUND(INDEX(Data[FY2026 Media Services],MATCH(A231,Data[Label],0))*(1+$B$6),2)+ROUND(INDEX(Data[FY2026 Ed Services],MATCH(A231,Data[Label],0))*(1+$B$6),2))*G231</f>
        <v>123460.34399999998</v>
      </c>
      <c r="K231" s="182">
        <f t="shared" si="21"/>
        <v>8653497.3440000005</v>
      </c>
      <c r="L231" s="182">
        <f t="shared" si="22"/>
        <v>20369.344000000507</v>
      </c>
      <c r="M231" s="178">
        <f t="shared" si="23"/>
        <v>2.3594395913046243E-3</v>
      </c>
      <c r="N231" s="184">
        <f t="shared" si="18"/>
        <v>-1.7999999999999545</v>
      </c>
      <c r="O231" s="185">
        <f t="shared" si="19"/>
        <v>-2.049180327868801E-3</v>
      </c>
    </row>
    <row r="232" spans="1:15" x14ac:dyDescent="0.55000000000000004">
      <c r="A232" s="197" t="s">
        <v>225</v>
      </c>
      <c r="B232" s="176">
        <f>INDEX(Data[FY2026 Budget Enrollment],MATCH(A232,Data[Label],0))</f>
        <v>2196</v>
      </c>
      <c r="C232" s="177">
        <f>INDEX(Data[FY2026 RPDC Total],MATCH(A232,Data[Label],0))+INDEX(Data[FY2026 RPDC Budget Guarantee],MATCH(A232,Data[Label],0))</f>
        <v>17561685</v>
      </c>
      <c r="D232" s="177">
        <f>'FY2027 Categoricals Report'!L232</f>
        <v>3437146</v>
      </c>
      <c r="E232" s="177">
        <f>ROUND((INDEX(Data[FY2026 Media Services],MATCH(A232,Data[Label],0))+INDEX(Data[FY2026 Ed Services],MATCH(A232,Data[Label],0)))*B232,0)</f>
        <v>299512</v>
      </c>
      <c r="F232" s="193">
        <f t="shared" si="20"/>
        <v>21298343</v>
      </c>
      <c r="G232" s="244">
        <f>INDEX(Data[FY2027 Budget Enrollment],MATCH(A232,Data[Label],0))</f>
        <v>2197.8000000000002</v>
      </c>
      <c r="H232" s="177">
        <f>'FY2027 RPDC Report'!K232</f>
        <v>17907674.400000002</v>
      </c>
      <c r="I232" s="177">
        <f>'FY2027 Categoricals Report'!W232</f>
        <v>3555727</v>
      </c>
      <c r="J232" s="177">
        <f>(ROUND(INDEX(Data[FY2026 Media Services],MATCH(A232,Data[Label],0))*(1+$B$6),2)+ROUND(INDEX(Data[FY2026 Ed Services],MATCH(A232,Data[Label],0))*(1+$B$6),2))*G232</f>
        <v>305757.93600000005</v>
      </c>
      <c r="K232" s="177">
        <f t="shared" si="21"/>
        <v>21769159.336000003</v>
      </c>
      <c r="L232" s="177">
        <f t="shared" si="22"/>
        <v>470816.33600000292</v>
      </c>
      <c r="M232" s="178">
        <f t="shared" si="23"/>
        <v>2.2105773017178046E-2</v>
      </c>
      <c r="N232" s="179">
        <f t="shared" si="18"/>
        <v>1.8000000000001819</v>
      </c>
      <c r="O232" s="180">
        <f t="shared" si="19"/>
        <v>8.1967213114762382E-4</v>
      </c>
    </row>
    <row r="233" spans="1:15" x14ac:dyDescent="0.55000000000000004">
      <c r="A233" s="198" t="s">
        <v>226</v>
      </c>
      <c r="B233" s="181">
        <f>INDEX(Data[FY2026 Budget Enrollment],MATCH(A233,Data[Label],0))</f>
        <v>5124.3</v>
      </c>
      <c r="C233" s="182">
        <f>INDEX(Data[FY2026 RPDC Total],MATCH(A233,Data[Label],0))+INDEX(Data[FY2026 RPDC Budget Guarantee],MATCH(A233,Data[Label],0))</f>
        <v>40932908</v>
      </c>
      <c r="D233" s="182">
        <f>'FY2027 Categoricals Report'!L233</f>
        <v>6780342</v>
      </c>
      <c r="E233" s="182">
        <f>ROUND((INDEX(Data[FY2026 Media Services],MATCH(A233,Data[Label],0))+INDEX(Data[FY2026 Ed Services],MATCH(A233,Data[Label],0)))*B233,0)</f>
        <v>698903</v>
      </c>
      <c r="F233" s="194">
        <f t="shared" si="20"/>
        <v>48412153</v>
      </c>
      <c r="G233" s="243">
        <f>INDEX(Data[FY2027 Budget Enrollment],MATCH(A233,Data[Label],0))</f>
        <v>4994.1000000000004</v>
      </c>
      <c r="H233" s="182">
        <f>'FY2027 RPDC Report'!K233</f>
        <v>41342236.800000004</v>
      </c>
      <c r="I233" s="182">
        <f>'FY2027 Categoricals Report'!W233</f>
        <v>6809815</v>
      </c>
      <c r="J233" s="182">
        <f>(ROUND(INDEX(Data[FY2026 Media Services],MATCH(A233,Data[Label],0))*(1+$B$6),2)+ROUND(INDEX(Data[FY2026 Ed Services],MATCH(A233,Data[Label],0))*(1+$B$6),2))*G233</f>
        <v>694779.19200000004</v>
      </c>
      <c r="K233" s="182">
        <f t="shared" si="21"/>
        <v>48846830.992000006</v>
      </c>
      <c r="L233" s="182">
        <f t="shared" si="22"/>
        <v>434677.99200000614</v>
      </c>
      <c r="M233" s="178">
        <f t="shared" si="23"/>
        <v>8.9786957419556637E-3</v>
      </c>
      <c r="N233" s="184">
        <f t="shared" si="18"/>
        <v>-130.19999999999982</v>
      </c>
      <c r="O233" s="185">
        <f t="shared" si="19"/>
        <v>-2.5408348457350235E-2</v>
      </c>
    </row>
    <row r="234" spans="1:15" x14ac:dyDescent="0.55000000000000004">
      <c r="A234" s="197" t="s">
        <v>227</v>
      </c>
      <c r="B234" s="176">
        <f>INDEX(Data[FY2026 Budget Enrollment],MATCH(A234,Data[Label],0))</f>
        <v>990.1</v>
      </c>
      <c r="C234" s="177">
        <f>INDEX(Data[FY2026 RPDC Total],MATCH(A234,Data[Label],0))+INDEX(Data[FY2026 RPDC Budget Guarantee],MATCH(A234,Data[Label],0))</f>
        <v>7908919</v>
      </c>
      <c r="D234" s="177">
        <f>'FY2027 Categoricals Report'!L234</f>
        <v>1515968</v>
      </c>
      <c r="E234" s="177">
        <f>ROUND((INDEX(Data[FY2026 Media Services],MATCH(A234,Data[Label],0))+INDEX(Data[FY2026 Ed Services],MATCH(A234,Data[Label],0)))*B234,0)</f>
        <v>134792</v>
      </c>
      <c r="F234" s="193">
        <f t="shared" si="20"/>
        <v>9559679</v>
      </c>
      <c r="G234" s="244">
        <f>INDEX(Data[FY2027 Budget Enrollment],MATCH(A234,Data[Label],0))</f>
        <v>944.1</v>
      </c>
      <c r="H234" s="177">
        <f>'FY2027 RPDC Report'!K234</f>
        <v>7988007.7999999998</v>
      </c>
      <c r="I234" s="177">
        <f>'FY2027 Categoricals Report'!W234</f>
        <v>1515968</v>
      </c>
      <c r="J234" s="177">
        <f>(ROUND(INDEX(Data[FY2026 Media Services],MATCH(A234,Data[Label],0))*(1+$B$6),2)+ROUND(INDEX(Data[FY2026 Ed Services],MATCH(A234,Data[Label],0))*(1+$B$6),2))*G234</f>
        <v>131107.16700000002</v>
      </c>
      <c r="K234" s="177">
        <f t="shared" si="21"/>
        <v>9635082.9670000002</v>
      </c>
      <c r="L234" s="177">
        <f t="shared" si="22"/>
        <v>75403.967000000179</v>
      </c>
      <c r="M234" s="178">
        <f t="shared" si="23"/>
        <v>7.8877090956715364E-3</v>
      </c>
      <c r="N234" s="179">
        <f t="shared" si="18"/>
        <v>-46</v>
      </c>
      <c r="O234" s="180">
        <f t="shared" si="19"/>
        <v>-4.6459953540046457E-2</v>
      </c>
    </row>
    <row r="235" spans="1:15" x14ac:dyDescent="0.55000000000000004">
      <c r="A235" s="198" t="s">
        <v>228</v>
      </c>
      <c r="B235" s="181">
        <f>INDEX(Data[FY2026 Budget Enrollment],MATCH(A235,Data[Label],0))</f>
        <v>643.5</v>
      </c>
      <c r="C235" s="182">
        <f>INDEX(Data[FY2026 RPDC Total],MATCH(A235,Data[Label],0))+INDEX(Data[FY2026 RPDC Budget Guarantee],MATCH(A235,Data[Label],0))</f>
        <v>5140278</v>
      </c>
      <c r="D235" s="182">
        <f>'FY2027 Categoricals Report'!L235</f>
        <v>1004295</v>
      </c>
      <c r="E235" s="182">
        <f>ROUND((INDEX(Data[FY2026 Media Services],MATCH(A235,Data[Label],0))+INDEX(Data[FY2026 Ed Services],MATCH(A235,Data[Label],0)))*B235,0)</f>
        <v>87606</v>
      </c>
      <c r="F235" s="194">
        <f t="shared" si="20"/>
        <v>6232179</v>
      </c>
      <c r="G235" s="243">
        <f>INDEX(Data[FY2027 Budget Enrollment],MATCH(A235,Data[Label],0))</f>
        <v>634.9</v>
      </c>
      <c r="H235" s="182">
        <f>'FY2027 RPDC Report'!K235</f>
        <v>5191681.2</v>
      </c>
      <c r="I235" s="182">
        <f>'FY2027 Categoricals Report'!W235</f>
        <v>1009769</v>
      </c>
      <c r="J235" s="182">
        <f>(ROUND(INDEX(Data[FY2026 Media Services],MATCH(A235,Data[Label],0))*(1+$B$6),2)+ROUND(INDEX(Data[FY2026 Ed Services],MATCH(A235,Data[Label],0))*(1+$B$6),2))*G235</f>
        <v>88168.562999999995</v>
      </c>
      <c r="K235" s="182">
        <f t="shared" si="21"/>
        <v>6289618.7630000003</v>
      </c>
      <c r="L235" s="182">
        <f t="shared" si="22"/>
        <v>57439.763000000268</v>
      </c>
      <c r="M235" s="178">
        <f t="shared" si="23"/>
        <v>9.2166420444599346E-3</v>
      </c>
      <c r="N235" s="184">
        <f t="shared" si="18"/>
        <v>-8.6000000000000227</v>
      </c>
      <c r="O235" s="185">
        <f t="shared" si="19"/>
        <v>-1.3364413364413399E-2</v>
      </c>
    </row>
    <row r="236" spans="1:15" x14ac:dyDescent="0.55000000000000004">
      <c r="A236" s="197" t="s">
        <v>229</v>
      </c>
      <c r="B236" s="176">
        <f>INDEX(Data[FY2026 Budget Enrollment],MATCH(A236,Data[Label],0))</f>
        <v>188</v>
      </c>
      <c r="C236" s="177">
        <f>INDEX(Data[FY2026 RPDC Total],MATCH(A236,Data[Label],0))+INDEX(Data[FY2026 RPDC Budget Guarantee],MATCH(A236,Data[Label],0))</f>
        <v>1525620</v>
      </c>
      <c r="D236" s="177">
        <f>'FY2027 Categoricals Report'!L236</f>
        <v>348036</v>
      </c>
      <c r="E236" s="177">
        <f>ROUND((INDEX(Data[FY2026 Media Services],MATCH(A236,Data[Label],0))+INDEX(Data[FY2026 Ed Services],MATCH(A236,Data[Label],0)))*B236,0)</f>
        <v>26038</v>
      </c>
      <c r="F236" s="193">
        <f t="shared" si="20"/>
        <v>1899694</v>
      </c>
      <c r="G236" s="244">
        <f>INDEX(Data[FY2027 Budget Enrollment],MATCH(A236,Data[Label],0))</f>
        <v>181</v>
      </c>
      <c r="H236" s="177">
        <f>'FY2027 RPDC Report'!K236</f>
        <v>1540876</v>
      </c>
      <c r="I236" s="177">
        <f>'FY2027 Categoricals Report'!W236</f>
        <v>348036</v>
      </c>
      <c r="J236" s="177">
        <f>(ROUND(INDEX(Data[FY2026 Media Services],MATCH(A236,Data[Label],0))*(1+$B$6),2)+ROUND(INDEX(Data[FY2026 Ed Services],MATCH(A236,Data[Label],0))*(1+$B$6),2))*G236</f>
        <v>25569.870000000003</v>
      </c>
      <c r="K236" s="177">
        <f t="shared" si="21"/>
        <v>1914481.87</v>
      </c>
      <c r="L236" s="177">
        <f t="shared" si="22"/>
        <v>14787.870000000112</v>
      </c>
      <c r="M236" s="178">
        <f t="shared" si="23"/>
        <v>7.7843431626357252E-3</v>
      </c>
      <c r="N236" s="179">
        <f t="shared" si="18"/>
        <v>-7</v>
      </c>
      <c r="O236" s="180">
        <f t="shared" si="19"/>
        <v>-3.7234042553191488E-2</v>
      </c>
    </row>
    <row r="237" spans="1:15" x14ac:dyDescent="0.55000000000000004">
      <c r="A237" s="198" t="s">
        <v>230</v>
      </c>
      <c r="B237" s="181">
        <f>INDEX(Data[FY2026 Budget Enrollment],MATCH(A237,Data[Label],0))</f>
        <v>527.20000000000005</v>
      </c>
      <c r="C237" s="182">
        <f>INDEX(Data[FY2026 RPDC Total],MATCH(A237,Data[Label],0))+INDEX(Data[FY2026 RPDC Budget Guarantee],MATCH(A237,Data[Label],0))</f>
        <v>4211274</v>
      </c>
      <c r="D237" s="182">
        <f>'FY2027 Categoricals Report'!L237</f>
        <v>861616</v>
      </c>
      <c r="E237" s="182">
        <f>ROUND((INDEX(Data[FY2026 Media Services],MATCH(A237,Data[Label],0))+INDEX(Data[FY2026 Ed Services],MATCH(A237,Data[Label],0)))*B237,0)</f>
        <v>71905</v>
      </c>
      <c r="F237" s="194">
        <f t="shared" si="20"/>
        <v>5144795</v>
      </c>
      <c r="G237" s="243">
        <f>INDEX(Data[FY2027 Budget Enrollment],MATCH(A237,Data[Label],0))</f>
        <v>514.79999999999995</v>
      </c>
      <c r="H237" s="182">
        <f>'FY2027 RPDC Report'!K237</f>
        <v>4253386.3999999994</v>
      </c>
      <c r="I237" s="182">
        <f>'FY2027 Categoricals Report'!W237</f>
        <v>867950</v>
      </c>
      <c r="J237" s="182">
        <f>(ROUND(INDEX(Data[FY2026 Media Services],MATCH(A237,Data[Label],0))*(1+$B$6),2)+ROUND(INDEX(Data[FY2026 Ed Services],MATCH(A237,Data[Label],0))*(1+$B$6),2))*G237</f>
        <v>71618.975999999995</v>
      </c>
      <c r="K237" s="182">
        <f t="shared" si="21"/>
        <v>5192955.3759999992</v>
      </c>
      <c r="L237" s="182">
        <f t="shared" si="22"/>
        <v>48160.375999999233</v>
      </c>
      <c r="M237" s="178">
        <f t="shared" si="23"/>
        <v>9.3609902824114914E-3</v>
      </c>
      <c r="N237" s="184">
        <f t="shared" si="18"/>
        <v>-12.400000000000091</v>
      </c>
      <c r="O237" s="185">
        <f t="shared" si="19"/>
        <v>-2.3520485584218685E-2</v>
      </c>
    </row>
    <row r="238" spans="1:15" x14ac:dyDescent="0.55000000000000004">
      <c r="A238" s="197" t="s">
        <v>231</v>
      </c>
      <c r="B238" s="176">
        <f>INDEX(Data[FY2026 Budget Enrollment],MATCH(A238,Data[Label],0))</f>
        <v>2135.6999999999998</v>
      </c>
      <c r="C238" s="177">
        <f>INDEX(Data[FY2026 RPDC Total],MATCH(A238,Data[Label],0))+INDEX(Data[FY2026 RPDC Budget Guarantee],MATCH(A238,Data[Label],0))</f>
        <v>17059972</v>
      </c>
      <c r="D238" s="177">
        <f>'FY2027 Categoricals Report'!L238</f>
        <v>3489521</v>
      </c>
      <c r="E238" s="177">
        <f>ROUND((INDEX(Data[FY2026 Media Services],MATCH(A238,Data[Label],0))+INDEX(Data[FY2026 Ed Services],MATCH(A238,Data[Label],0)))*B238,0)</f>
        <v>290754</v>
      </c>
      <c r="F238" s="193">
        <f t="shared" si="20"/>
        <v>20840247</v>
      </c>
      <c r="G238" s="244">
        <f>INDEX(Data[FY2027 Budget Enrollment],MATCH(A238,Data[Label],0))</f>
        <v>2103.5</v>
      </c>
      <c r="H238" s="177">
        <f>'FY2027 RPDC Report'!K238</f>
        <v>17230572</v>
      </c>
      <c r="I238" s="177">
        <f>'FY2027 Categoricals Report'!W238</f>
        <v>3717626</v>
      </c>
      <c r="J238" s="177">
        <f>(ROUND(INDEX(Data[FY2026 Media Services],MATCH(A238,Data[Label],0))*(1+$B$6),2)+ROUND(INDEX(Data[FY2026 Ed Services],MATCH(A238,Data[Label],0))*(1+$B$6),2))*G238</f>
        <v>292113.04499999998</v>
      </c>
      <c r="K238" s="177">
        <f t="shared" si="21"/>
        <v>21240311.045000002</v>
      </c>
      <c r="L238" s="177">
        <f t="shared" si="22"/>
        <v>400064.04500000179</v>
      </c>
      <c r="M238" s="178">
        <f t="shared" si="23"/>
        <v>1.9196703618723991E-2</v>
      </c>
      <c r="N238" s="179">
        <f t="shared" si="18"/>
        <v>-32.199999999999818</v>
      </c>
      <c r="O238" s="180">
        <f t="shared" si="19"/>
        <v>-1.5077023926581366E-2</v>
      </c>
    </row>
    <row r="239" spans="1:15" x14ac:dyDescent="0.55000000000000004">
      <c r="A239" s="198" t="s">
        <v>232</v>
      </c>
      <c r="B239" s="181">
        <f>INDEX(Data[FY2026 Budget Enrollment],MATCH(A239,Data[Label],0))</f>
        <v>1809.4</v>
      </c>
      <c r="C239" s="182">
        <f>INDEX(Data[FY2026 RPDC Total],MATCH(A239,Data[Label],0))+INDEX(Data[FY2026 RPDC Budget Guarantee],MATCH(A239,Data[Label],0))</f>
        <v>15165903</v>
      </c>
      <c r="D239" s="182">
        <f>'FY2027 Categoricals Report'!L239</f>
        <v>2681365</v>
      </c>
      <c r="E239" s="182">
        <f>ROUND((INDEX(Data[FY2026 Media Services],MATCH(A239,Data[Label],0))+INDEX(Data[FY2026 Ed Services],MATCH(A239,Data[Label],0)))*B239,0)</f>
        <v>246332</v>
      </c>
      <c r="F239" s="194">
        <f t="shared" si="20"/>
        <v>18093600</v>
      </c>
      <c r="G239" s="243">
        <f>INDEX(Data[FY2027 Budget Enrollment],MATCH(A239,Data[Label],0))</f>
        <v>1796.4</v>
      </c>
      <c r="H239" s="182">
        <f>'FY2027 RPDC Report'!K239</f>
        <v>14637067.200000001</v>
      </c>
      <c r="I239" s="182">
        <f>'FY2027 Categoricals Report'!W239</f>
        <v>2703139</v>
      </c>
      <c r="J239" s="182">
        <f>(ROUND(INDEX(Data[FY2026 Media Services],MATCH(A239,Data[Label],0))*(1+$B$6),2)+ROUND(INDEX(Data[FY2026 Ed Services],MATCH(A239,Data[Label],0))*(1+$B$6),2))*G239</f>
        <v>249466.06800000003</v>
      </c>
      <c r="K239" s="182">
        <f t="shared" si="21"/>
        <v>17589672.267999999</v>
      </c>
      <c r="L239" s="182">
        <f t="shared" si="22"/>
        <v>-503927.73200000077</v>
      </c>
      <c r="M239" s="178">
        <f t="shared" si="23"/>
        <v>-2.7851159083875004E-2</v>
      </c>
      <c r="N239" s="184">
        <f t="shared" si="18"/>
        <v>-13</v>
      </c>
      <c r="O239" s="185">
        <f t="shared" si="19"/>
        <v>-7.1847021111970813E-3</v>
      </c>
    </row>
    <row r="240" spans="1:15" x14ac:dyDescent="0.55000000000000004">
      <c r="A240" s="197" t="s">
        <v>233</v>
      </c>
      <c r="B240" s="176">
        <f>INDEX(Data[FY2026 Budget Enrollment],MATCH(A240,Data[Label],0))</f>
        <v>5497.5</v>
      </c>
      <c r="C240" s="177">
        <f>INDEX(Data[FY2026 RPDC Total],MATCH(A240,Data[Label],0))+INDEX(Data[FY2026 RPDC Budget Guarantee],MATCH(A240,Data[Label],0))</f>
        <v>44425298</v>
      </c>
      <c r="D240" s="177">
        <f>'FY2027 Categoricals Report'!L240</f>
        <v>7033993</v>
      </c>
      <c r="E240" s="177">
        <f>ROUND((INDEX(Data[FY2026 Media Services],MATCH(A240,Data[Label],0))+INDEX(Data[FY2026 Ed Services],MATCH(A240,Data[Label],0)))*B240,0)</f>
        <v>745791</v>
      </c>
      <c r="F240" s="193">
        <f t="shared" si="20"/>
        <v>52205082</v>
      </c>
      <c r="G240" s="244">
        <f>INDEX(Data[FY2027 Budget Enrollment],MATCH(A240,Data[Label],0))</f>
        <v>5413.2</v>
      </c>
      <c r="H240" s="177">
        <f>'FY2027 RPDC Report'!K240</f>
        <v>44869551.199999996</v>
      </c>
      <c r="I240" s="177">
        <f>'FY2027 Categoricals Report'!W240</f>
        <v>7244935</v>
      </c>
      <c r="J240" s="177">
        <f>(ROUND(INDEX(Data[FY2026 Media Services],MATCH(A240,Data[Label],0))*(1+$B$6),2)+ROUND(INDEX(Data[FY2026 Ed Services],MATCH(A240,Data[Label],0))*(1+$B$6),2))*G240</f>
        <v>749078.61599999992</v>
      </c>
      <c r="K240" s="177">
        <f t="shared" si="21"/>
        <v>52863564.816</v>
      </c>
      <c r="L240" s="177">
        <f t="shared" si="22"/>
        <v>658482.81599999964</v>
      </c>
      <c r="M240" s="178">
        <f t="shared" si="23"/>
        <v>1.2613385340530633E-2</v>
      </c>
      <c r="N240" s="179">
        <f t="shared" si="18"/>
        <v>-84.300000000000182</v>
      </c>
      <c r="O240" s="180">
        <f t="shared" si="19"/>
        <v>-1.5334242837653512E-2</v>
      </c>
    </row>
    <row r="241" spans="1:15" x14ac:dyDescent="0.55000000000000004">
      <c r="A241" s="198" t="s">
        <v>234</v>
      </c>
      <c r="B241" s="181">
        <f>INDEX(Data[FY2026 Budget Enrollment],MATCH(A241,Data[Label],0))</f>
        <v>699.9</v>
      </c>
      <c r="C241" s="182">
        <f>INDEX(Data[FY2026 RPDC Total],MATCH(A241,Data[Label],0))+INDEX(Data[FY2026 RPDC Budget Guarantee],MATCH(A241,Data[Label],0))</f>
        <v>5590801</v>
      </c>
      <c r="D241" s="182">
        <f>'FY2027 Categoricals Report'!L241</f>
        <v>1102059</v>
      </c>
      <c r="E241" s="182">
        <f>ROUND((INDEX(Data[FY2026 Media Services],MATCH(A241,Data[Label],0))+INDEX(Data[FY2026 Ed Services],MATCH(A241,Data[Label],0)))*B241,0)</f>
        <v>95284</v>
      </c>
      <c r="F241" s="194">
        <f t="shared" si="20"/>
        <v>6788144</v>
      </c>
      <c r="G241" s="243">
        <f>INDEX(Data[FY2027 Budget Enrollment],MATCH(A241,Data[Label],0))</f>
        <v>685.4</v>
      </c>
      <c r="H241" s="182">
        <f>'FY2027 RPDC Report'!K241</f>
        <v>5646709.2000000002</v>
      </c>
      <c r="I241" s="182">
        <f>'FY2027 Categoricals Report'!W241</f>
        <v>1102241</v>
      </c>
      <c r="J241" s="182">
        <f>(ROUND(INDEX(Data[FY2026 Media Services],MATCH(A241,Data[Label],0))*(1+$B$6),2)+ROUND(INDEX(Data[FY2026 Ed Services],MATCH(A241,Data[Label],0))*(1+$B$6),2))*G241</f>
        <v>95181.498000000007</v>
      </c>
      <c r="K241" s="182">
        <f t="shared" si="21"/>
        <v>6844131.6979999999</v>
      </c>
      <c r="L241" s="182">
        <f t="shared" si="22"/>
        <v>55987.697999999858</v>
      </c>
      <c r="M241" s="178">
        <f t="shared" si="23"/>
        <v>8.2478653959020109E-3</v>
      </c>
      <c r="N241" s="184">
        <f t="shared" si="18"/>
        <v>-14.5</v>
      </c>
      <c r="O241" s="185">
        <f t="shared" si="19"/>
        <v>-2.0717245320760108E-2</v>
      </c>
    </row>
    <row r="242" spans="1:15" x14ac:dyDescent="0.55000000000000004">
      <c r="A242" s="197" t="s">
        <v>235</v>
      </c>
      <c r="B242" s="176">
        <f>INDEX(Data[FY2026 Budget Enrollment],MATCH(A242,Data[Label],0))</f>
        <v>659.8</v>
      </c>
      <c r="C242" s="177">
        <f>INDEX(Data[FY2026 RPDC Total],MATCH(A242,Data[Label],0))+INDEX(Data[FY2026 RPDC Budget Guarantee],MATCH(A242,Data[Label],0))</f>
        <v>5333163</v>
      </c>
      <c r="D242" s="177">
        <f>'FY2027 Categoricals Report'!L242</f>
        <v>1095891</v>
      </c>
      <c r="E242" s="177">
        <f>ROUND((INDEX(Data[FY2026 Media Services],MATCH(A242,Data[Label],0))+INDEX(Data[FY2026 Ed Services],MATCH(A242,Data[Label],0)))*B242,0)</f>
        <v>91382</v>
      </c>
      <c r="F242" s="193">
        <f t="shared" si="20"/>
        <v>6520436</v>
      </c>
      <c r="G242" s="244">
        <f>INDEX(Data[FY2027 Budget Enrollment],MATCH(A242,Data[Label],0))</f>
        <v>657.1</v>
      </c>
      <c r="H242" s="177">
        <f>'FY2027 RPDC Report'!K242</f>
        <v>5416475.2999999998</v>
      </c>
      <c r="I242" s="177">
        <f>'FY2027 Categoricals Report'!W242</f>
        <v>1132644</v>
      </c>
      <c r="J242" s="177">
        <f>(ROUND(INDEX(Data[FY2026 Media Services],MATCH(A242,Data[Label],0))*(1+$B$6),2)+ROUND(INDEX(Data[FY2026 Ed Services],MATCH(A242,Data[Label],0))*(1+$B$6),2))*G242</f>
        <v>92828.517000000007</v>
      </c>
      <c r="K242" s="177">
        <f t="shared" si="21"/>
        <v>6641947.8169999998</v>
      </c>
      <c r="L242" s="177">
        <f t="shared" si="22"/>
        <v>121511.81699999981</v>
      </c>
      <c r="M242" s="178">
        <f t="shared" si="23"/>
        <v>1.8635535568480362E-2</v>
      </c>
      <c r="N242" s="179">
        <f t="shared" si="18"/>
        <v>-2.6999999999999318</v>
      </c>
      <c r="O242" s="180">
        <f t="shared" si="19"/>
        <v>-4.092149136101746E-3</v>
      </c>
    </row>
    <row r="243" spans="1:15" x14ac:dyDescent="0.55000000000000004">
      <c r="A243" s="198" t="s">
        <v>236</v>
      </c>
      <c r="B243" s="181">
        <f>INDEX(Data[FY2026 Budget Enrollment],MATCH(A243,Data[Label],0))</f>
        <v>738.5</v>
      </c>
      <c r="C243" s="182">
        <f>INDEX(Data[FY2026 RPDC Total],MATCH(A243,Data[Label],0))+INDEX(Data[FY2026 RPDC Budget Guarantee],MATCH(A243,Data[Label],0))</f>
        <v>5985896</v>
      </c>
      <c r="D243" s="182">
        <f>'FY2027 Categoricals Report'!L243</f>
        <v>1178350</v>
      </c>
      <c r="E243" s="182">
        <f>ROUND((INDEX(Data[FY2026 Media Services],MATCH(A243,Data[Label],0))+INDEX(Data[FY2026 Ed Services],MATCH(A243,Data[Label],0)))*B243,0)</f>
        <v>101876</v>
      </c>
      <c r="F243" s="194">
        <f t="shared" si="20"/>
        <v>7266122</v>
      </c>
      <c r="G243" s="243">
        <f>INDEX(Data[FY2027 Budget Enrollment],MATCH(A243,Data[Label],0))</f>
        <v>704.5</v>
      </c>
      <c r="H243" s="182">
        <f>'FY2027 RPDC Report'!K243</f>
        <v>5958129</v>
      </c>
      <c r="I243" s="182">
        <f>'FY2027 Categoricals Report'!W243</f>
        <v>1268782</v>
      </c>
      <c r="J243" s="182">
        <f>(ROUND(INDEX(Data[FY2026 Media Services],MATCH(A243,Data[Label],0))*(1+$B$6),2)+ROUND(INDEX(Data[FY2026 Ed Services],MATCH(A243,Data[Label],0))*(1+$B$6),2))*G243</f>
        <v>99130.194999999992</v>
      </c>
      <c r="K243" s="182">
        <f t="shared" si="21"/>
        <v>7326041.1950000003</v>
      </c>
      <c r="L243" s="182">
        <f t="shared" si="22"/>
        <v>59919.195000000298</v>
      </c>
      <c r="M243" s="178">
        <f t="shared" si="23"/>
        <v>8.2463788799582907E-3</v>
      </c>
      <c r="N243" s="184">
        <f t="shared" si="18"/>
        <v>-34</v>
      </c>
      <c r="O243" s="185">
        <f t="shared" si="19"/>
        <v>-4.6039268788083954E-2</v>
      </c>
    </row>
    <row r="244" spans="1:15" x14ac:dyDescent="0.55000000000000004">
      <c r="A244" s="197" t="s">
        <v>237</v>
      </c>
      <c r="B244" s="176">
        <f>INDEX(Data[FY2026 Budget Enrollment],MATCH(A244,Data[Label],0))</f>
        <v>972.9</v>
      </c>
      <c r="C244" s="177">
        <f>INDEX(Data[FY2026 RPDC Total],MATCH(A244,Data[Label],0))+INDEX(Data[FY2026 RPDC Budget Guarantee],MATCH(A244,Data[Label],0))</f>
        <v>8375354</v>
      </c>
      <c r="D244" s="177">
        <f>'FY2027 Categoricals Report'!L244</f>
        <v>1587256</v>
      </c>
      <c r="E244" s="177">
        <f>ROUND((INDEX(Data[FY2026 Media Services],MATCH(A244,Data[Label],0))+INDEX(Data[FY2026 Ed Services],MATCH(A244,Data[Label],0)))*B244,0)</f>
        <v>133141</v>
      </c>
      <c r="F244" s="193">
        <f t="shared" si="20"/>
        <v>10095751</v>
      </c>
      <c r="G244" s="244">
        <f>INDEX(Data[FY2027 Budget Enrollment],MATCH(A244,Data[Label],0))</f>
        <v>951.5</v>
      </c>
      <c r="H244" s="177">
        <f>'FY2027 RPDC Report'!K244</f>
        <v>7849240</v>
      </c>
      <c r="I244" s="177">
        <f>'FY2027 Categoricals Report'!W244</f>
        <v>1550482</v>
      </c>
      <c r="J244" s="177">
        <f>(ROUND(INDEX(Data[FY2026 Media Services],MATCH(A244,Data[Label],0))*(1+$B$6),2)+ROUND(INDEX(Data[FY2026 Ed Services],MATCH(A244,Data[Label],0))*(1+$B$6),2))*G244</f>
        <v>132819.88500000001</v>
      </c>
      <c r="K244" s="177">
        <f>I244+J244+H244</f>
        <v>9532541.8849999998</v>
      </c>
      <c r="L244" s="177">
        <f t="shared" si="22"/>
        <v>-563209.11500000022</v>
      </c>
      <c r="M244" s="178">
        <f t="shared" si="23"/>
        <v>-5.5786747811034584E-2</v>
      </c>
      <c r="N244" s="179">
        <f t="shared" si="18"/>
        <v>-21.399999999999977</v>
      </c>
      <c r="O244" s="180">
        <f t="shared" si="19"/>
        <v>-2.1996094151505784E-2</v>
      </c>
    </row>
    <row r="245" spans="1:15" x14ac:dyDescent="0.55000000000000004">
      <c r="A245" s="198" t="s">
        <v>238</v>
      </c>
      <c r="B245" s="181">
        <f>INDEX(Data[FY2026 Budget Enrollment],MATCH(A245,Data[Label],0))</f>
        <v>331.1</v>
      </c>
      <c r="C245" s="182">
        <f>INDEX(Data[FY2026 RPDC Total],MATCH(A245,Data[Label],0))+INDEX(Data[FY2026 RPDC Budget Guarantee],MATCH(A245,Data[Label],0))</f>
        <v>2644827</v>
      </c>
      <c r="D245" s="182">
        <f>'FY2027 Categoricals Report'!L245</f>
        <v>860578</v>
      </c>
      <c r="E245" s="182">
        <f>ROUND((INDEX(Data[FY2026 Media Services],MATCH(A245,Data[Label],0))+INDEX(Data[FY2026 Ed Services],MATCH(A245,Data[Label],0)))*B245,0)</f>
        <v>45801</v>
      </c>
      <c r="F245" s="194">
        <f>E245+D245+C245</f>
        <v>3551206</v>
      </c>
      <c r="G245" s="243">
        <f>INDEX(Data[FY2027 Budget Enrollment],MATCH(A245,Data[Label],0))</f>
        <v>316.2</v>
      </c>
      <c r="H245" s="182">
        <f>'FY2027 RPDC Report'!K245</f>
        <v>2671275.6</v>
      </c>
      <c r="I245" s="182">
        <f>'FY2027 Categoricals Report'!W245</f>
        <v>907257</v>
      </c>
      <c r="J245" s="182">
        <f>(ROUND(INDEX(Data[FY2026 Media Services],MATCH(A245,Data[Label],0))*(1+$B$6),2)+ROUND(INDEX(Data[FY2026 Ed Services],MATCH(A245,Data[Label],0))*(1+$B$6),2))*G245</f>
        <v>44615.82</v>
      </c>
      <c r="K245" s="182">
        <f t="shared" si="21"/>
        <v>3623148.42</v>
      </c>
      <c r="L245" s="182">
        <f t="shared" si="22"/>
        <v>71942.419999999925</v>
      </c>
      <c r="M245" s="178">
        <f t="shared" si="23"/>
        <v>2.0258588209188633E-2</v>
      </c>
      <c r="N245" s="184">
        <f t="shared" si="18"/>
        <v>-14.900000000000034</v>
      </c>
      <c r="O245" s="185">
        <f t="shared" si="19"/>
        <v>-4.5001510117789287E-2</v>
      </c>
    </row>
    <row r="246" spans="1:15" x14ac:dyDescent="0.55000000000000004">
      <c r="A246" s="197" t="s">
        <v>239</v>
      </c>
      <c r="B246" s="176">
        <f>INDEX(Data[FY2026 Budget Enrollment],MATCH(A246,Data[Label],0))</f>
        <v>354.1</v>
      </c>
      <c r="C246" s="177">
        <f>INDEX(Data[FY2026 RPDC Total],MATCH(A246,Data[Label],0))+INDEX(Data[FY2026 RPDC Budget Guarantee],MATCH(A246,Data[Label],0))</f>
        <v>2828551</v>
      </c>
      <c r="D246" s="177">
        <f>'FY2027 Categoricals Report'!L246</f>
        <v>822306</v>
      </c>
      <c r="E246" s="177">
        <f>ROUND((INDEX(Data[FY2026 Media Services],MATCH(A246,Data[Label],0))+INDEX(Data[FY2026 Ed Services],MATCH(A246,Data[Label],0)))*B246,0)</f>
        <v>48848</v>
      </c>
      <c r="F246" s="193">
        <f t="shared" si="20"/>
        <v>3699705</v>
      </c>
      <c r="G246" s="244">
        <f>INDEX(Data[FY2027 Budget Enrollment],MATCH(A246,Data[Label],0))</f>
        <v>354.1</v>
      </c>
      <c r="H246" s="177">
        <f>'FY2027 RPDC Report'!K246</f>
        <v>2885206.8000000003</v>
      </c>
      <c r="I246" s="177">
        <f>'FY2027 Categoricals Report'!W246</f>
        <v>833414</v>
      </c>
      <c r="J246" s="177">
        <f>(ROUND(INDEX(Data[FY2026 Media Services],MATCH(A246,Data[Label],0))*(1+$B$6),2)+ROUND(INDEX(Data[FY2026 Ed Services],MATCH(A246,Data[Label],0))*(1+$B$6),2))*G246</f>
        <v>49825.410999999993</v>
      </c>
      <c r="K246" s="177">
        <f t="shared" si="21"/>
        <v>3768446.2110000001</v>
      </c>
      <c r="L246" s="177">
        <f t="shared" si="22"/>
        <v>68741.211000000127</v>
      </c>
      <c r="M246" s="178">
        <f t="shared" si="23"/>
        <v>1.8580187068969047E-2</v>
      </c>
      <c r="N246" s="179">
        <f t="shared" si="18"/>
        <v>0</v>
      </c>
      <c r="O246" s="180">
        <f t="shared" si="19"/>
        <v>0</v>
      </c>
    </row>
    <row r="247" spans="1:15" x14ac:dyDescent="0.55000000000000004">
      <c r="A247" s="198" t="s">
        <v>240</v>
      </c>
      <c r="B247" s="181">
        <f>INDEX(Data[FY2026 Budget Enrollment],MATCH(A247,Data[Label],0))</f>
        <v>362.1</v>
      </c>
      <c r="C247" s="182">
        <f>INDEX(Data[FY2026 RPDC Total],MATCH(A247,Data[Label],0))+INDEX(Data[FY2026 RPDC Budget Guarantee],MATCH(A247,Data[Label],0))</f>
        <v>2933271</v>
      </c>
      <c r="D247" s="182">
        <f>'FY2027 Categoricals Report'!L247</f>
        <v>659365</v>
      </c>
      <c r="E247" s="182">
        <f>ROUND((INDEX(Data[FY2026 Media Services],MATCH(A247,Data[Label],0))+INDEX(Data[FY2026 Ed Services],MATCH(A247,Data[Label],0)))*B247,0)</f>
        <v>50089</v>
      </c>
      <c r="F247" s="194">
        <f t="shared" si="20"/>
        <v>3642725</v>
      </c>
      <c r="G247" s="243">
        <f>INDEX(Data[FY2027 Budget Enrollment],MATCH(A247,Data[Label],0))</f>
        <v>335</v>
      </c>
      <c r="H247" s="182">
        <f>'FY2027 RPDC Report'!K247</f>
        <v>2921380</v>
      </c>
      <c r="I247" s="182">
        <f>'FY2027 Categoricals Report'!W247</f>
        <v>657247</v>
      </c>
      <c r="J247" s="182">
        <f>(ROUND(INDEX(Data[FY2026 Media Services],MATCH(A247,Data[Label],0))*(1+$B$6),2)+ROUND(INDEX(Data[FY2026 Ed Services],MATCH(A247,Data[Label],0))*(1+$B$6),2))*G247</f>
        <v>47268.5</v>
      </c>
      <c r="K247" s="182">
        <f t="shared" si="21"/>
        <v>3625895.5</v>
      </c>
      <c r="L247" s="182">
        <f t="shared" si="22"/>
        <v>-16829.5</v>
      </c>
      <c r="M247" s="178">
        <f t="shared" si="23"/>
        <v>-4.6200303344337001E-3</v>
      </c>
      <c r="N247" s="184">
        <f t="shared" si="18"/>
        <v>-27.100000000000023</v>
      </c>
      <c r="O247" s="185">
        <f t="shared" si="19"/>
        <v>-7.484120408726877E-2</v>
      </c>
    </row>
    <row r="248" spans="1:15" x14ac:dyDescent="0.55000000000000004">
      <c r="A248" s="197" t="s">
        <v>241</v>
      </c>
      <c r="B248" s="176">
        <f>INDEX(Data[FY2026 Budget Enrollment],MATCH(A248,Data[Label],0))</f>
        <v>727</v>
      </c>
      <c r="C248" s="177">
        <f>INDEX(Data[FY2026 RPDC Total],MATCH(A248,Data[Label],0))+INDEX(Data[FY2026 RPDC Budget Guarantee],MATCH(A248,Data[Label],0))</f>
        <v>5807276</v>
      </c>
      <c r="D248" s="177">
        <f>'FY2027 Categoricals Report'!L248</f>
        <v>1143368</v>
      </c>
      <c r="E248" s="177">
        <f>ROUND((INDEX(Data[FY2026 Media Services],MATCH(A248,Data[Label],0))+INDEX(Data[FY2026 Ed Services],MATCH(A248,Data[Label],0)))*B248,0)</f>
        <v>99490</v>
      </c>
      <c r="F248" s="193">
        <f t="shared" si="20"/>
        <v>7050134</v>
      </c>
      <c r="G248" s="244">
        <f>INDEX(Data[FY2027 Budget Enrollment],MATCH(A248,Data[Label],0))</f>
        <v>723</v>
      </c>
      <c r="H248" s="177">
        <f>'FY2027 RPDC Report'!K248</f>
        <v>5891004</v>
      </c>
      <c r="I248" s="177">
        <f>'FY2027 Categoricals Report'!W248</f>
        <v>1158115</v>
      </c>
      <c r="J248" s="177">
        <f>(ROUND(INDEX(Data[FY2026 Media Services],MATCH(A248,Data[Label],0))*(1+$B$6),2)+ROUND(INDEX(Data[FY2026 Ed Services],MATCH(A248,Data[Label],0))*(1+$B$6),2))*G248</f>
        <v>100923.57</v>
      </c>
      <c r="K248" s="177">
        <f t="shared" si="21"/>
        <v>7150042.5700000003</v>
      </c>
      <c r="L248" s="177">
        <f t="shared" si="22"/>
        <v>99908.570000000298</v>
      </c>
      <c r="M248" s="178">
        <f t="shared" si="23"/>
        <v>1.4171159016268385E-2</v>
      </c>
      <c r="N248" s="179">
        <f t="shared" si="18"/>
        <v>-4</v>
      </c>
      <c r="O248" s="180">
        <f t="shared" si="19"/>
        <v>-5.5020632737276479E-3</v>
      </c>
    </row>
    <row r="249" spans="1:15" x14ac:dyDescent="0.55000000000000004">
      <c r="A249" s="198" t="s">
        <v>242</v>
      </c>
      <c r="B249" s="181">
        <f>INDEX(Data[FY2026 Budget Enrollment],MATCH(A249,Data[Label],0))</f>
        <v>788.7</v>
      </c>
      <c r="C249" s="182">
        <f>INDEX(Data[FY2026 RPDC Total],MATCH(A249,Data[Label],0))+INDEX(Data[FY2026 RPDC Budget Guarantee],MATCH(A249,Data[Label],0))</f>
        <v>6492791</v>
      </c>
      <c r="D249" s="182">
        <f>'FY2027 Categoricals Report'!L249</f>
        <v>1650646</v>
      </c>
      <c r="E249" s="182">
        <f>ROUND((INDEX(Data[FY2026 Media Services],MATCH(A249,Data[Label],0))+INDEX(Data[FY2026 Ed Services],MATCH(A249,Data[Label],0)))*B249,0)</f>
        <v>109101</v>
      </c>
      <c r="F249" s="194">
        <f t="shared" si="20"/>
        <v>8252538</v>
      </c>
      <c r="G249" s="243">
        <f>INDEX(Data[FY2027 Budget Enrollment],MATCH(A249,Data[Label],0))</f>
        <v>779.7</v>
      </c>
      <c r="H249" s="182">
        <f>'FY2027 RPDC Report'!K249</f>
        <v>6363933.3000000007</v>
      </c>
      <c r="I249" s="182">
        <f>'FY2027 Categoricals Report'!W249</f>
        <v>1793568</v>
      </c>
      <c r="J249" s="182">
        <f>(ROUND(INDEX(Data[FY2026 Media Services],MATCH(A249,Data[Label],0))*(1+$B$6),2)+ROUND(INDEX(Data[FY2026 Ed Services],MATCH(A249,Data[Label],0))*(1+$B$6),2))*G249</f>
        <v>110015.67</v>
      </c>
      <c r="K249" s="182">
        <f t="shared" si="21"/>
        <v>8267516.9700000007</v>
      </c>
      <c r="L249" s="182">
        <f t="shared" si="22"/>
        <v>14978.970000000671</v>
      </c>
      <c r="M249" s="178">
        <f t="shared" si="23"/>
        <v>1.8150743444017672E-3</v>
      </c>
      <c r="N249" s="184">
        <f t="shared" si="18"/>
        <v>-9</v>
      </c>
      <c r="O249" s="185">
        <f t="shared" si="19"/>
        <v>-1.1411182959300114E-2</v>
      </c>
    </row>
    <row r="250" spans="1:15" x14ac:dyDescent="0.55000000000000004">
      <c r="A250" s="197" t="s">
        <v>243</v>
      </c>
      <c r="B250" s="176">
        <f>INDEX(Data[FY2026 Budget Enrollment],MATCH(A250,Data[Label],0))</f>
        <v>1007.6</v>
      </c>
      <c r="C250" s="177">
        <f>INDEX(Data[FY2026 RPDC Total],MATCH(A250,Data[Label],0))+INDEX(Data[FY2026 RPDC Budget Guarantee],MATCH(A250,Data[Label],0))</f>
        <v>8048709</v>
      </c>
      <c r="D250" s="177">
        <f>'FY2027 Categoricals Report'!L250</f>
        <v>1383212</v>
      </c>
      <c r="E250" s="177">
        <f>ROUND((INDEX(Data[FY2026 Media Services],MATCH(A250,Data[Label],0))+INDEX(Data[FY2026 Ed Services],MATCH(A250,Data[Label],0)))*B250,0)</f>
        <v>137175</v>
      </c>
      <c r="F250" s="193">
        <f t="shared" si="20"/>
        <v>9569096</v>
      </c>
      <c r="G250" s="244">
        <f>INDEX(Data[FY2027 Budget Enrollment],MATCH(A250,Data[Label],0))</f>
        <v>1001.9</v>
      </c>
      <c r="H250" s="177">
        <f>'FY2027 RPDC Report'!K250</f>
        <v>8163481.2000000002</v>
      </c>
      <c r="I250" s="177">
        <f>'FY2027 Categoricals Report'!W250</f>
        <v>1405799</v>
      </c>
      <c r="J250" s="177">
        <f>(ROUND(INDEX(Data[FY2026 Media Services],MATCH(A250,Data[Label],0))*(1+$B$6),2)+ROUND(INDEX(Data[FY2026 Ed Services],MATCH(A250,Data[Label],0))*(1+$B$6),2))*G250</f>
        <v>139133.853</v>
      </c>
      <c r="K250" s="177">
        <f t="shared" si="21"/>
        <v>9708414.0529999994</v>
      </c>
      <c r="L250" s="177">
        <f t="shared" si="22"/>
        <v>139318.05299999937</v>
      </c>
      <c r="M250" s="178">
        <f t="shared" si="23"/>
        <v>1.4559165567990893E-2</v>
      </c>
      <c r="N250" s="179">
        <f t="shared" si="18"/>
        <v>-5.7000000000000455</v>
      </c>
      <c r="O250" s="180">
        <f t="shared" si="19"/>
        <v>-5.6570067487098502E-3</v>
      </c>
    </row>
    <row r="251" spans="1:15" x14ac:dyDescent="0.55000000000000004">
      <c r="A251" s="198" t="s">
        <v>244</v>
      </c>
      <c r="B251" s="181">
        <f>INDEX(Data[FY2026 Budget Enrollment],MATCH(A251,Data[Label],0))</f>
        <v>403</v>
      </c>
      <c r="C251" s="182">
        <f>INDEX(Data[FY2026 RPDC Total],MATCH(A251,Data[Label],0))+INDEX(Data[FY2026 RPDC Budget Guarantee],MATCH(A251,Data[Label],0))</f>
        <v>3319789</v>
      </c>
      <c r="D251" s="182">
        <f>'FY2027 Categoricals Report'!L251</f>
        <v>800322</v>
      </c>
      <c r="E251" s="182">
        <f>ROUND((INDEX(Data[FY2026 Media Services],MATCH(A251,Data[Label],0))+INDEX(Data[FY2026 Ed Services],MATCH(A251,Data[Label],0)))*B251,0)</f>
        <v>55642</v>
      </c>
      <c r="F251" s="194">
        <f t="shared" si="20"/>
        <v>4175753</v>
      </c>
      <c r="G251" s="243">
        <f>INDEX(Data[FY2027 Budget Enrollment],MATCH(A251,Data[Label],0))</f>
        <v>385</v>
      </c>
      <c r="H251" s="182">
        <f>'FY2027 RPDC Report'!K251</f>
        <v>3251356</v>
      </c>
      <c r="I251" s="182">
        <f>'FY2027 Categoricals Report'!W251</f>
        <v>796702</v>
      </c>
      <c r="J251" s="182">
        <f>(ROUND(INDEX(Data[FY2026 Media Services],MATCH(A251,Data[Label],0))*(1+$B$6),2)+ROUND(INDEX(Data[FY2026 Ed Services],MATCH(A251,Data[Label],0))*(1+$B$6),2))*G251</f>
        <v>54223.399999999987</v>
      </c>
      <c r="K251" s="182">
        <f t="shared" si="21"/>
        <v>4102281.4</v>
      </c>
      <c r="L251" s="182">
        <f t="shared" si="22"/>
        <v>-73471.600000000093</v>
      </c>
      <c r="M251" s="178">
        <f t="shared" si="23"/>
        <v>-1.7594814635827381E-2</v>
      </c>
      <c r="N251" s="184">
        <f t="shared" si="18"/>
        <v>-18</v>
      </c>
      <c r="O251" s="185">
        <f t="shared" si="19"/>
        <v>-4.4665012406947889E-2</v>
      </c>
    </row>
    <row r="252" spans="1:15" x14ac:dyDescent="0.55000000000000004">
      <c r="A252" s="197" t="s">
        <v>245</v>
      </c>
      <c r="B252" s="176">
        <f>INDEX(Data[FY2026 Budget Enrollment],MATCH(A252,Data[Label],0))</f>
        <v>185</v>
      </c>
      <c r="C252" s="177">
        <f>INDEX(Data[FY2026 RPDC Total],MATCH(A252,Data[Label],0))+INDEX(Data[FY2026 RPDC Budget Guarantee],MATCH(A252,Data[Label],0))</f>
        <v>1477780</v>
      </c>
      <c r="D252" s="177">
        <f>'FY2027 Categoricals Report'!L252</f>
        <v>405662</v>
      </c>
      <c r="E252" s="177">
        <f>ROUND((INDEX(Data[FY2026 Media Services],MATCH(A252,Data[Label],0))+INDEX(Data[FY2026 Ed Services],MATCH(A252,Data[Label],0)))*B252,0)</f>
        <v>25623</v>
      </c>
      <c r="F252" s="193">
        <f t="shared" si="20"/>
        <v>1909065</v>
      </c>
      <c r="G252" s="244">
        <f>INDEX(Data[FY2027 Budget Enrollment],MATCH(A252,Data[Label],0))</f>
        <v>185</v>
      </c>
      <c r="H252" s="177">
        <f>'FY2027 RPDC Report'!K252</f>
        <v>1507380</v>
      </c>
      <c r="I252" s="177">
        <f>'FY2027 Categoricals Report'!W252</f>
        <v>414672</v>
      </c>
      <c r="J252" s="177">
        <f>(ROUND(INDEX(Data[FY2026 Media Services],MATCH(A252,Data[Label],0))*(1+$B$6),2)+ROUND(INDEX(Data[FY2026 Ed Services],MATCH(A252,Data[Label],0))*(1+$B$6),2))*G252</f>
        <v>26134.95</v>
      </c>
      <c r="K252" s="177">
        <f t="shared" si="21"/>
        <v>1948186.95</v>
      </c>
      <c r="L252" s="177">
        <f t="shared" si="22"/>
        <v>39121.949999999953</v>
      </c>
      <c r="M252" s="178">
        <f t="shared" si="23"/>
        <v>2.049272811559583E-2</v>
      </c>
      <c r="N252" s="179">
        <f t="shared" si="18"/>
        <v>0</v>
      </c>
      <c r="O252" s="180">
        <f t="shared" si="19"/>
        <v>0</v>
      </c>
    </row>
    <row r="253" spans="1:15" x14ac:dyDescent="0.55000000000000004">
      <c r="A253" s="198" t="s">
        <v>246</v>
      </c>
      <c r="B253" s="181">
        <f>INDEX(Data[FY2026 Budget Enrollment],MATCH(A253,Data[Label],0))</f>
        <v>1016.4</v>
      </c>
      <c r="C253" s="182">
        <f>INDEX(Data[FY2026 RPDC Total],MATCH(A253,Data[Label],0))+INDEX(Data[FY2026 RPDC Budget Guarantee],MATCH(A253,Data[Label],0))</f>
        <v>8147462</v>
      </c>
      <c r="D253" s="182">
        <f>'FY2027 Categoricals Report'!L253</f>
        <v>1538434</v>
      </c>
      <c r="E253" s="182">
        <f>ROUND((INDEX(Data[FY2026 Media Services],MATCH(A253,Data[Label],0))+INDEX(Data[FY2026 Ed Services],MATCH(A253,Data[Label],0)))*B253,0)</f>
        <v>138373</v>
      </c>
      <c r="F253" s="194">
        <f t="shared" si="20"/>
        <v>9824269</v>
      </c>
      <c r="G253" s="243">
        <f>INDEX(Data[FY2027 Budget Enrollment],MATCH(A253,Data[Label],0))</f>
        <v>998.9</v>
      </c>
      <c r="H253" s="182">
        <f>'FY2027 RPDC Report'!K253</f>
        <v>8228936.3999999994</v>
      </c>
      <c r="I253" s="182">
        <f>'FY2027 Categoricals Report'!W253</f>
        <v>1577249</v>
      </c>
      <c r="J253" s="182">
        <f>(ROUND(INDEX(Data[FY2026 Media Services],MATCH(A253,Data[Label],0))*(1+$B$6),2)+ROUND(INDEX(Data[FY2026 Ed Services],MATCH(A253,Data[Label],0))*(1+$B$6),2))*G253</f>
        <v>138717.24299999999</v>
      </c>
      <c r="K253" s="182">
        <f t="shared" si="21"/>
        <v>9944902.6429999992</v>
      </c>
      <c r="L253" s="182">
        <f t="shared" si="22"/>
        <v>120633.64299999923</v>
      </c>
      <c r="M253" s="178">
        <f t="shared" si="23"/>
        <v>1.2279146977754703E-2</v>
      </c>
      <c r="N253" s="184">
        <f t="shared" si="18"/>
        <v>-17.5</v>
      </c>
      <c r="O253" s="185">
        <f t="shared" si="19"/>
        <v>-1.7217630853994491E-2</v>
      </c>
    </row>
    <row r="254" spans="1:15" x14ac:dyDescent="0.55000000000000004">
      <c r="A254" s="197" t="s">
        <v>247</v>
      </c>
      <c r="B254" s="176">
        <f>INDEX(Data[FY2026 Budget Enrollment],MATCH(A254,Data[Label],0))</f>
        <v>351</v>
      </c>
      <c r="C254" s="177">
        <f>INDEX(Data[FY2026 RPDC Total],MATCH(A254,Data[Label],0))+INDEX(Data[FY2026 RPDC Budget Guarantee],MATCH(A254,Data[Label],0))</f>
        <v>2896852</v>
      </c>
      <c r="D254" s="177">
        <f>'FY2027 Categoricals Report'!L254</f>
        <v>639344</v>
      </c>
      <c r="E254" s="177">
        <f>ROUND((INDEX(Data[FY2026 Media Services],MATCH(A254,Data[Label],0))+INDEX(Data[FY2026 Ed Services],MATCH(A254,Data[Label],0)))*B254,0)</f>
        <v>48614</v>
      </c>
      <c r="F254" s="193">
        <f t="shared" si="20"/>
        <v>3584810</v>
      </c>
      <c r="G254" s="244">
        <f>INDEX(Data[FY2027 Budget Enrollment],MATCH(A254,Data[Label],0))</f>
        <v>363.1</v>
      </c>
      <c r="H254" s="177">
        <f>'FY2027 RPDC Report'!K254</f>
        <v>2968342.5</v>
      </c>
      <c r="I254" s="177">
        <f>'FY2027 Categoricals Report'!W254</f>
        <v>660939</v>
      </c>
      <c r="J254" s="177">
        <f>(ROUND(INDEX(Data[FY2026 Media Services],MATCH(A254,Data[Label],0))*(1+$B$6),2)+ROUND(INDEX(Data[FY2026 Ed Services],MATCH(A254,Data[Label],0))*(1+$B$6),2))*G254</f>
        <v>51295.13700000001</v>
      </c>
      <c r="K254" s="177">
        <f t="shared" si="21"/>
        <v>3680576.6370000001</v>
      </c>
      <c r="L254" s="177">
        <f t="shared" si="22"/>
        <v>95766.637000000104</v>
      </c>
      <c r="M254" s="178">
        <f t="shared" si="23"/>
        <v>2.6714564230740291E-2</v>
      </c>
      <c r="N254" s="179">
        <f t="shared" si="18"/>
        <v>12.100000000000023</v>
      </c>
      <c r="O254" s="180">
        <f t="shared" si="19"/>
        <v>3.4472934472934535E-2</v>
      </c>
    </row>
    <row r="255" spans="1:15" x14ac:dyDescent="0.55000000000000004">
      <c r="A255" s="198" t="s">
        <v>248</v>
      </c>
      <c r="B255" s="181">
        <f>INDEX(Data[FY2026 Budget Enrollment],MATCH(A255,Data[Label],0))</f>
        <v>231.1</v>
      </c>
      <c r="C255" s="182">
        <f>INDEX(Data[FY2026 RPDC Total],MATCH(A255,Data[Label],0))+INDEX(Data[FY2026 RPDC Budget Guarantee],MATCH(A255,Data[Label],0))</f>
        <v>1881214</v>
      </c>
      <c r="D255" s="182">
        <f>'FY2027 Categoricals Report'!L255</f>
        <v>413556</v>
      </c>
      <c r="E255" s="182">
        <f>ROUND((INDEX(Data[FY2026 Media Services],MATCH(A255,Data[Label],0))+INDEX(Data[FY2026 Ed Services],MATCH(A255,Data[Label],0)))*B255,0)</f>
        <v>31968</v>
      </c>
      <c r="F255" s="194">
        <f t="shared" si="20"/>
        <v>2326738</v>
      </c>
      <c r="G255" s="243">
        <f>INDEX(Data[FY2027 Budget Enrollment],MATCH(A255,Data[Label],0))</f>
        <v>230.1</v>
      </c>
      <c r="H255" s="182">
        <f>'FY2027 RPDC Report'!K255</f>
        <v>1874854.8</v>
      </c>
      <c r="I255" s="182">
        <f>'FY2027 Categoricals Report'!W255</f>
        <v>423680</v>
      </c>
      <c r="J255" s="182">
        <f>(ROUND(INDEX(Data[FY2026 Media Services],MATCH(A255,Data[Label],0))*(1+$B$6),2)+ROUND(INDEX(Data[FY2026 Ed Services],MATCH(A255,Data[Label],0))*(1+$B$6),2))*G255</f>
        <v>32467.109999999997</v>
      </c>
      <c r="K255" s="182">
        <f t="shared" si="21"/>
        <v>2331001.91</v>
      </c>
      <c r="L255" s="182">
        <f t="shared" si="22"/>
        <v>4263.910000000149</v>
      </c>
      <c r="M255" s="178">
        <f t="shared" si="23"/>
        <v>1.8325698896911251E-3</v>
      </c>
      <c r="N255" s="184">
        <f t="shared" si="18"/>
        <v>-1</v>
      </c>
      <c r="O255" s="185">
        <f t="shared" si="19"/>
        <v>-4.3271311120726963E-3</v>
      </c>
    </row>
    <row r="256" spans="1:15" x14ac:dyDescent="0.55000000000000004">
      <c r="A256" s="197" t="s">
        <v>249</v>
      </c>
      <c r="B256" s="176">
        <f>INDEX(Data[FY2026 Budget Enrollment],MATCH(A256,Data[Label],0))</f>
        <v>1420.1</v>
      </c>
      <c r="C256" s="177">
        <f>INDEX(Data[FY2026 RPDC Total],MATCH(A256,Data[Label],0))+INDEX(Data[FY2026 RPDC Budget Guarantee],MATCH(A256,Data[Label],0))</f>
        <v>11363954</v>
      </c>
      <c r="D256" s="177">
        <f>'FY2027 Categoricals Report'!L256</f>
        <v>1886391</v>
      </c>
      <c r="E256" s="177">
        <f>ROUND((INDEX(Data[FY2026 Media Services],MATCH(A256,Data[Label],0))+INDEX(Data[FY2026 Ed Services],MATCH(A256,Data[Label],0)))*B256,0)</f>
        <v>196442</v>
      </c>
      <c r="F256" s="193">
        <f t="shared" si="20"/>
        <v>13446787</v>
      </c>
      <c r="G256" s="244">
        <f>INDEX(Data[FY2027 Budget Enrollment],MATCH(A256,Data[Label],0))</f>
        <v>1371.7</v>
      </c>
      <c r="H256" s="177">
        <f>'FY2027 RPDC Report'!K256</f>
        <v>11457196.6</v>
      </c>
      <c r="I256" s="177">
        <f>'FY2027 Categoricals Report'!W256</f>
        <v>1904543</v>
      </c>
      <c r="J256" s="177">
        <f>(ROUND(INDEX(Data[FY2026 Media Services],MATCH(A256,Data[Label],0))*(1+$B$6),2)+ROUND(INDEX(Data[FY2026 Ed Services],MATCH(A256,Data[Label],0))*(1+$B$6),2))*G256</f>
        <v>193546.87</v>
      </c>
      <c r="K256" s="177">
        <f t="shared" si="21"/>
        <v>13555286.469999999</v>
      </c>
      <c r="L256" s="177">
        <f t="shared" si="22"/>
        <v>108499.46999999881</v>
      </c>
      <c r="M256" s="178">
        <f t="shared" si="23"/>
        <v>8.0688026068977525E-3</v>
      </c>
      <c r="N256" s="179">
        <f t="shared" si="18"/>
        <v>-48.399999999999864</v>
      </c>
      <c r="O256" s="180">
        <f t="shared" si="19"/>
        <v>-3.4082106893880616E-2</v>
      </c>
    </row>
    <row r="257" spans="1:15" x14ac:dyDescent="0.55000000000000004">
      <c r="A257" s="198" t="s">
        <v>250</v>
      </c>
      <c r="B257" s="181">
        <f>INDEX(Data[FY2026 Budget Enrollment],MATCH(A257,Data[Label],0))</f>
        <v>222</v>
      </c>
      <c r="C257" s="182">
        <f>INDEX(Data[FY2026 RPDC Total],MATCH(A257,Data[Label],0))+INDEX(Data[FY2026 RPDC Budget Guarantee],MATCH(A257,Data[Label],0))</f>
        <v>1843273</v>
      </c>
      <c r="D257" s="182">
        <f>'FY2027 Categoricals Report'!L257</f>
        <v>621935</v>
      </c>
      <c r="E257" s="182">
        <f>ROUND((INDEX(Data[FY2026 Media Services],MATCH(A257,Data[Label],0))+INDEX(Data[FY2026 Ed Services],MATCH(A257,Data[Label],0)))*B257,0)</f>
        <v>30279</v>
      </c>
      <c r="F257" s="194">
        <f t="shared" si="20"/>
        <v>2495487</v>
      </c>
      <c r="G257" s="243">
        <f>INDEX(Data[FY2027 Budget Enrollment],MATCH(A257,Data[Label],0))</f>
        <v>219.3</v>
      </c>
      <c r="H257" s="182">
        <f>'FY2027 RPDC Report'!K257</f>
        <v>1791069.4000000001</v>
      </c>
      <c r="I257" s="182">
        <f>'FY2027 Categoricals Report'!W257</f>
        <v>618923</v>
      </c>
      <c r="J257" s="182">
        <f>(ROUND(INDEX(Data[FY2026 Media Services],MATCH(A257,Data[Label],0))*(1+$B$6),2)+ROUND(INDEX(Data[FY2026 Ed Services],MATCH(A257,Data[Label],0))*(1+$B$6),2))*G257</f>
        <v>30509.016000000003</v>
      </c>
      <c r="K257" s="182">
        <f t="shared" si="21"/>
        <v>2440501.4160000002</v>
      </c>
      <c r="L257" s="182">
        <f t="shared" si="22"/>
        <v>-54985.583999999799</v>
      </c>
      <c r="M257" s="178">
        <f t="shared" si="23"/>
        <v>-2.203400939375753E-2</v>
      </c>
      <c r="N257" s="184">
        <f t="shared" si="18"/>
        <v>-2.6999999999999886</v>
      </c>
      <c r="O257" s="185">
        <f t="shared" si="19"/>
        <v>-1.2162162162162111E-2</v>
      </c>
    </row>
    <row r="258" spans="1:15" x14ac:dyDescent="0.55000000000000004">
      <c r="A258" s="197" t="s">
        <v>251</v>
      </c>
      <c r="B258" s="176">
        <f>INDEX(Data[FY2026 Budget Enrollment],MATCH(A258,Data[Label],0))</f>
        <v>1141.3</v>
      </c>
      <c r="C258" s="177">
        <f>INDEX(Data[FY2026 RPDC Total],MATCH(A258,Data[Label],0))+INDEX(Data[FY2026 RPDC Budget Guarantee],MATCH(A258,Data[Label],0))</f>
        <v>9116704</v>
      </c>
      <c r="D258" s="177">
        <f>'FY2027 Categoricals Report'!L258</f>
        <v>1773572</v>
      </c>
      <c r="E258" s="177">
        <f>ROUND((INDEX(Data[FY2026 Media Services],MATCH(A258,Data[Label],0))+INDEX(Data[FY2026 Ed Services],MATCH(A258,Data[Label],0)))*B258,0)</f>
        <v>157876</v>
      </c>
      <c r="F258" s="193">
        <f t="shared" si="20"/>
        <v>11048152</v>
      </c>
      <c r="G258" s="244">
        <f>INDEX(Data[FY2027 Budget Enrollment],MATCH(A258,Data[Label],0))</f>
        <v>1114.2</v>
      </c>
      <c r="H258" s="177">
        <f>'FY2027 RPDC Report'!K258</f>
        <v>9207870.5999999996</v>
      </c>
      <c r="I258" s="177">
        <f>'FY2027 Categoricals Report'!W258</f>
        <v>1812085</v>
      </c>
      <c r="J258" s="177">
        <f>(ROUND(INDEX(Data[FY2026 Media Services],MATCH(A258,Data[Label],0))*(1+$B$6),2)+ROUND(INDEX(Data[FY2026 Ed Services],MATCH(A258,Data[Label],0))*(1+$B$6),2))*G258</f>
        <v>157213.62</v>
      </c>
      <c r="K258" s="177">
        <f t="shared" si="21"/>
        <v>11177169.219999999</v>
      </c>
      <c r="L258" s="177">
        <f t="shared" si="22"/>
        <v>129017.21999999881</v>
      </c>
      <c r="M258" s="178">
        <f t="shared" si="23"/>
        <v>1.1677719495531815E-2</v>
      </c>
      <c r="N258" s="179">
        <f t="shared" si="18"/>
        <v>-27.099999999999909</v>
      </c>
      <c r="O258" s="180">
        <f t="shared" si="19"/>
        <v>-2.3744852361342252E-2</v>
      </c>
    </row>
    <row r="259" spans="1:15" x14ac:dyDescent="0.55000000000000004">
      <c r="A259" s="198" t="s">
        <v>252</v>
      </c>
      <c r="B259" s="181">
        <f>INDEX(Data[FY2026 Budget Enrollment],MATCH(A259,Data[Label],0))</f>
        <v>1060.0999999999999</v>
      </c>
      <c r="C259" s="182">
        <f>INDEX(Data[FY2026 RPDC Total],MATCH(A259,Data[Label],0))+INDEX(Data[FY2026 RPDC Budget Guarantee],MATCH(A259,Data[Label],0))</f>
        <v>8468079</v>
      </c>
      <c r="D259" s="182">
        <f>'FY2027 Categoricals Report'!L259</f>
        <v>1662560</v>
      </c>
      <c r="E259" s="182">
        <f>ROUND((INDEX(Data[FY2026 Media Services],MATCH(A259,Data[Label],0))+INDEX(Data[FY2026 Ed Services],MATCH(A259,Data[Label],0)))*B259,0)</f>
        <v>145075</v>
      </c>
      <c r="F259" s="194">
        <f t="shared" si="20"/>
        <v>10275714</v>
      </c>
      <c r="G259" s="243">
        <f>INDEX(Data[FY2027 Budget Enrollment],MATCH(A259,Data[Label],0))</f>
        <v>1043.7</v>
      </c>
      <c r="H259" s="182">
        <f>'FY2027 RPDC Report'!K259</f>
        <v>8552759.5999999996</v>
      </c>
      <c r="I259" s="182">
        <f>'FY2027 Categoricals Report'!W259</f>
        <v>1669100</v>
      </c>
      <c r="J259" s="182">
        <f>(ROUND(INDEX(Data[FY2026 Media Services],MATCH(A259,Data[Label],0))*(1+$B$6),2)+ROUND(INDEX(Data[FY2026 Ed Services],MATCH(A259,Data[Label],0))*(1+$B$6),2))*G259</f>
        <v>145690.08300000001</v>
      </c>
      <c r="K259" s="182">
        <f t="shared" si="21"/>
        <v>10367549.683</v>
      </c>
      <c r="L259" s="182">
        <f t="shared" si="22"/>
        <v>91835.683000000194</v>
      </c>
      <c r="M259" s="178">
        <f t="shared" si="23"/>
        <v>8.937158332744586E-3</v>
      </c>
      <c r="N259" s="184">
        <f t="shared" si="18"/>
        <v>-16.399999999999864</v>
      </c>
      <c r="O259" s="185">
        <f t="shared" si="19"/>
        <v>-1.547023865673037E-2</v>
      </c>
    </row>
    <row r="260" spans="1:15" x14ac:dyDescent="0.55000000000000004">
      <c r="A260" s="197" t="s">
        <v>253</v>
      </c>
      <c r="B260" s="176">
        <f>INDEX(Data[FY2026 Budget Enrollment],MATCH(A260,Data[Label],0))</f>
        <v>669.3</v>
      </c>
      <c r="C260" s="177">
        <f>INDEX(Data[FY2026 RPDC Total],MATCH(A260,Data[Label],0))+INDEX(Data[FY2026 RPDC Budget Guarantee],MATCH(A260,Data[Label],0))</f>
        <v>5346368</v>
      </c>
      <c r="D260" s="177">
        <f>'FY2027 Categoricals Report'!L260</f>
        <v>1209616</v>
      </c>
      <c r="E260" s="177">
        <f>ROUND((INDEX(Data[FY2026 Media Services],MATCH(A260,Data[Label],0))+INDEX(Data[FY2026 Ed Services],MATCH(A260,Data[Label],0)))*B260,0)</f>
        <v>92584</v>
      </c>
      <c r="F260" s="193">
        <f t="shared" si="20"/>
        <v>6648568</v>
      </c>
      <c r="G260" s="244">
        <f>INDEX(Data[FY2027 Budget Enrollment],MATCH(A260,Data[Label],0))</f>
        <v>623.6</v>
      </c>
      <c r="H260" s="177">
        <f>'FY2027 RPDC Report'!K260</f>
        <v>5399831.7999999998</v>
      </c>
      <c r="I260" s="177">
        <f>'FY2027 Categoricals Report'!W260</f>
        <v>1209616</v>
      </c>
      <c r="J260" s="177">
        <f>(ROUND(INDEX(Data[FY2026 Media Services],MATCH(A260,Data[Label],0))*(1+$B$6),2)+ROUND(INDEX(Data[FY2026 Ed Services],MATCH(A260,Data[Label],0))*(1+$B$6),2))*G260</f>
        <v>87989.96</v>
      </c>
      <c r="K260" s="177">
        <f t="shared" si="21"/>
        <v>6697437.7599999998</v>
      </c>
      <c r="L260" s="177">
        <f t="shared" si="22"/>
        <v>48869.759999999776</v>
      </c>
      <c r="M260" s="178">
        <f t="shared" si="23"/>
        <v>7.3504189172765889E-3</v>
      </c>
      <c r="N260" s="179">
        <f t="shared" si="18"/>
        <v>-45.699999999999932</v>
      </c>
      <c r="O260" s="180">
        <f t="shared" si="19"/>
        <v>-6.8280292843268989E-2</v>
      </c>
    </row>
    <row r="261" spans="1:15" x14ac:dyDescent="0.55000000000000004">
      <c r="A261" s="198" t="s">
        <v>254</v>
      </c>
      <c r="B261" s="181">
        <f>INDEX(Data[FY2026 Budget Enrollment],MATCH(A261,Data[Label],0))</f>
        <v>367.2</v>
      </c>
      <c r="C261" s="182">
        <f>INDEX(Data[FY2026 RPDC Total],MATCH(A261,Data[Label],0))+INDEX(Data[FY2026 RPDC Budget Guarantee],MATCH(A261,Data[Label],0))</f>
        <v>3074757</v>
      </c>
      <c r="D261" s="182">
        <f>'FY2027 Categoricals Report'!L261</f>
        <v>690248</v>
      </c>
      <c r="E261" s="182">
        <f>ROUND((INDEX(Data[FY2026 Media Services],MATCH(A261,Data[Label],0))+INDEX(Data[FY2026 Ed Services],MATCH(A261,Data[Label],0)))*B261,0)</f>
        <v>50251</v>
      </c>
      <c r="F261" s="194">
        <f t="shared" si="20"/>
        <v>3815256</v>
      </c>
      <c r="G261" s="243">
        <f>INDEX(Data[FY2027 Budget Enrollment],MATCH(A261,Data[Label],0))</f>
        <v>337.2</v>
      </c>
      <c r="H261" s="182">
        <f>'FY2027 RPDC Report'!K261</f>
        <v>2962525.6</v>
      </c>
      <c r="I261" s="182">
        <f>'FY2027 Categoricals Report'!W261</f>
        <v>683496</v>
      </c>
      <c r="J261" s="182">
        <f>(ROUND(INDEX(Data[FY2026 Media Services],MATCH(A261,Data[Label],0))*(1+$B$6),2)+ROUND(INDEX(Data[FY2026 Ed Services],MATCH(A261,Data[Label],0))*(1+$B$6),2))*G261</f>
        <v>47069.748</v>
      </c>
      <c r="K261" s="182">
        <f t="shared" si="21"/>
        <v>3693091.3480000002</v>
      </c>
      <c r="L261" s="182">
        <f t="shared" si="22"/>
        <v>-122164.65199999977</v>
      </c>
      <c r="M261" s="178">
        <f t="shared" si="23"/>
        <v>-3.2020040594916768E-2</v>
      </c>
      <c r="N261" s="184">
        <f t="shared" si="18"/>
        <v>-30</v>
      </c>
      <c r="O261" s="185">
        <f t="shared" si="19"/>
        <v>-8.1699346405228759E-2</v>
      </c>
    </row>
    <row r="262" spans="1:15" x14ac:dyDescent="0.55000000000000004">
      <c r="A262" s="197" t="s">
        <v>255</v>
      </c>
      <c r="B262" s="176">
        <f>INDEX(Data[FY2026 Budget Enrollment],MATCH(A262,Data[Label],0))</f>
        <v>559</v>
      </c>
      <c r="C262" s="177">
        <f>INDEX(Data[FY2026 RPDC Total],MATCH(A262,Data[Label],0))+INDEX(Data[FY2026 RPDC Budget Guarantee],MATCH(A262,Data[Label],0))</f>
        <v>4465292</v>
      </c>
      <c r="D262" s="177">
        <f>'FY2027 Categoricals Report'!L262</f>
        <v>875509</v>
      </c>
      <c r="E262" s="177">
        <f>ROUND((INDEX(Data[FY2026 Media Services],MATCH(A262,Data[Label],0))+INDEX(Data[FY2026 Ed Services],MATCH(A262,Data[Label],0)))*B262,0)</f>
        <v>76242</v>
      </c>
      <c r="F262" s="193">
        <f t="shared" si="20"/>
        <v>5417043</v>
      </c>
      <c r="G262" s="244">
        <f>INDEX(Data[FY2027 Budget Enrollment],MATCH(A262,Data[Label],0))</f>
        <v>553.9</v>
      </c>
      <c r="H262" s="177">
        <f>'FY2027 RPDC Report'!K262</f>
        <v>4513177.2</v>
      </c>
      <c r="I262" s="177">
        <f>'FY2027 Categoricals Report'!W262</f>
        <v>881326</v>
      </c>
      <c r="J262" s="177">
        <f>(ROUND(INDEX(Data[FY2026 Media Services],MATCH(A262,Data[Label],0))*(1+$B$6),2)+ROUND(INDEX(Data[FY2026 Ed Services],MATCH(A262,Data[Label],0))*(1+$B$6),2))*G262</f>
        <v>77058.567999999999</v>
      </c>
      <c r="K262" s="177">
        <f t="shared" si="21"/>
        <v>5471561.7680000002</v>
      </c>
      <c r="L262" s="177">
        <f t="shared" si="22"/>
        <v>54518.768000000156</v>
      </c>
      <c r="M262" s="178">
        <f t="shared" si="23"/>
        <v>1.0064304086196133E-2</v>
      </c>
      <c r="N262" s="179">
        <f t="shared" si="18"/>
        <v>-5.1000000000000227</v>
      </c>
      <c r="O262" s="180">
        <f t="shared" si="19"/>
        <v>-9.123434704830095E-3</v>
      </c>
    </row>
    <row r="263" spans="1:15" x14ac:dyDescent="0.55000000000000004">
      <c r="A263" s="198" t="s">
        <v>256</v>
      </c>
      <c r="B263" s="181">
        <f>INDEX(Data[FY2026 Budget Enrollment],MATCH(A263,Data[Label],0))</f>
        <v>1538</v>
      </c>
      <c r="C263" s="182">
        <f>INDEX(Data[FY2026 RPDC Total],MATCH(A263,Data[Label],0))+INDEX(Data[FY2026 RPDC Budget Guarantee],MATCH(A263,Data[Label],0))</f>
        <v>12285544</v>
      </c>
      <c r="D263" s="182">
        <f>'FY2027 Categoricals Report'!L263</f>
        <v>2861019</v>
      </c>
      <c r="E263" s="182">
        <f>ROUND((INDEX(Data[FY2026 Media Services],MATCH(A263,Data[Label],0))+INDEX(Data[FY2026 Ed Services],MATCH(A263,Data[Label],0)))*B263,0)</f>
        <v>212752</v>
      </c>
      <c r="F263" s="194">
        <f t="shared" si="20"/>
        <v>15359315</v>
      </c>
      <c r="G263" s="243">
        <f>INDEX(Data[FY2027 Budget Enrollment],MATCH(A263,Data[Label],0))</f>
        <v>1476.1</v>
      </c>
      <c r="H263" s="182">
        <f>'FY2027 RPDC Report'!K263</f>
        <v>12408399.799999999</v>
      </c>
      <c r="I263" s="182">
        <f>'FY2027 Categoricals Report'!W263</f>
        <v>3025506</v>
      </c>
      <c r="J263" s="182">
        <f>(ROUND(INDEX(Data[FY2026 Media Services],MATCH(A263,Data[Label],0))*(1+$B$6),2)+ROUND(INDEX(Data[FY2026 Ed Services],MATCH(A263,Data[Label],0))*(1+$B$6),2))*G263</f>
        <v>208277.71</v>
      </c>
      <c r="K263" s="182">
        <f t="shared" si="21"/>
        <v>15642183.509999998</v>
      </c>
      <c r="L263" s="182">
        <f t="shared" si="22"/>
        <v>282868.50999999791</v>
      </c>
      <c r="M263" s="178">
        <f t="shared" si="23"/>
        <v>1.8416739939248458E-2</v>
      </c>
      <c r="N263" s="184">
        <f t="shared" si="18"/>
        <v>-61.900000000000091</v>
      </c>
      <c r="O263" s="185">
        <f t="shared" si="19"/>
        <v>-4.0247074122236728E-2</v>
      </c>
    </row>
    <row r="264" spans="1:15" x14ac:dyDescent="0.55000000000000004">
      <c r="A264" s="197" t="s">
        <v>257</v>
      </c>
      <c r="B264" s="176">
        <f>INDEX(Data[FY2026 Budget Enrollment],MATCH(A264,Data[Label],0))</f>
        <v>422.5</v>
      </c>
      <c r="C264" s="177">
        <f>INDEX(Data[FY2026 RPDC Total],MATCH(A264,Data[Label],0))+INDEX(Data[FY2026 RPDC Budget Guarantee],MATCH(A264,Data[Label],0))</f>
        <v>3446257</v>
      </c>
      <c r="D264" s="177">
        <f>'FY2027 Categoricals Report'!L264</f>
        <v>785573</v>
      </c>
      <c r="E264" s="177">
        <f>ROUND((INDEX(Data[FY2026 Media Services],MATCH(A264,Data[Label],0))+INDEX(Data[FY2026 Ed Services],MATCH(A264,Data[Label],0)))*B264,0)</f>
        <v>58516</v>
      </c>
      <c r="F264" s="193">
        <f t="shared" si="20"/>
        <v>4290346</v>
      </c>
      <c r="G264" s="244">
        <f>INDEX(Data[FY2027 Budget Enrollment],MATCH(A264,Data[Label],0))</f>
        <v>446.3</v>
      </c>
      <c r="H264" s="177">
        <f>'FY2027 RPDC Report'!K264</f>
        <v>3636452.4</v>
      </c>
      <c r="I264" s="177">
        <f>'FY2027 Categoricals Report'!W264</f>
        <v>834335</v>
      </c>
      <c r="J264" s="177">
        <f>(ROUND(INDEX(Data[FY2026 Media Services],MATCH(A264,Data[Label],0))*(1+$B$6),2)+ROUND(INDEX(Data[FY2026 Ed Services],MATCH(A264,Data[Label],0))*(1+$B$6),2))*G264</f>
        <v>63048.801000000007</v>
      </c>
      <c r="K264" s="177">
        <f t="shared" si="21"/>
        <v>4533836.2009999994</v>
      </c>
      <c r="L264" s="177">
        <f t="shared" si="22"/>
        <v>243490.20099999942</v>
      </c>
      <c r="M264" s="178">
        <f t="shared" si="23"/>
        <v>5.6753045325481775E-2</v>
      </c>
      <c r="N264" s="179">
        <f t="shared" si="18"/>
        <v>23.800000000000011</v>
      </c>
      <c r="O264" s="180">
        <f t="shared" si="19"/>
        <v>5.6331360946745589E-2</v>
      </c>
    </row>
    <row r="265" spans="1:15" x14ac:dyDescent="0.55000000000000004">
      <c r="A265" s="198" t="s">
        <v>258</v>
      </c>
      <c r="B265" s="181">
        <f>INDEX(Data[FY2026 Budget Enrollment],MATCH(A265,Data[Label],0))</f>
        <v>14482.1</v>
      </c>
      <c r="C265" s="182">
        <f>INDEX(Data[FY2026 RPDC Total],MATCH(A265,Data[Label],0))+INDEX(Data[FY2026 RPDC Budget Guarantee],MATCH(A265,Data[Label],0))</f>
        <v>115683015</v>
      </c>
      <c r="D265" s="182">
        <f>'FY2027 Categoricals Report'!L265</f>
        <v>20445101</v>
      </c>
      <c r="E265" s="182">
        <f>ROUND((INDEX(Data[FY2026 Media Services],MATCH(A265,Data[Label],0))+INDEX(Data[FY2026 Ed Services],MATCH(A265,Data[Label],0)))*B265,0)</f>
        <v>2003309</v>
      </c>
      <c r="F265" s="194">
        <f t="shared" si="20"/>
        <v>138131425</v>
      </c>
      <c r="G265" s="243">
        <f>INDEX(Data[FY2027 Budget Enrollment],MATCH(A265,Data[Label],0))</f>
        <v>14181.4</v>
      </c>
      <c r="H265" s="182">
        <f>'FY2027 RPDC Report'!K265</f>
        <v>116839845.2</v>
      </c>
      <c r="I265" s="182">
        <f>'FY2027 Categoricals Report'!W265</f>
        <v>20837790</v>
      </c>
      <c r="J265" s="182">
        <f>(ROUND(INDEX(Data[FY2026 Media Services],MATCH(A265,Data[Label],0))*(1+$B$6),2)+ROUND(INDEX(Data[FY2026 Ed Services],MATCH(A265,Data[Label],0))*(1+$B$6),2))*G265</f>
        <v>2000995.5399999998</v>
      </c>
      <c r="K265" s="182">
        <f t="shared" si="21"/>
        <v>139678630.74000001</v>
      </c>
      <c r="L265" s="182">
        <f t="shared" si="22"/>
        <v>1547205.7400000095</v>
      </c>
      <c r="M265" s="178">
        <f t="shared" si="23"/>
        <v>1.1200968497936002E-2</v>
      </c>
      <c r="N265" s="184">
        <f t="shared" si="18"/>
        <v>-300.70000000000073</v>
      </c>
      <c r="O265" s="185">
        <f t="shared" si="19"/>
        <v>-2.0763563295378481E-2</v>
      </c>
    </row>
    <row r="266" spans="1:15" x14ac:dyDescent="0.55000000000000004">
      <c r="A266" s="197" t="s">
        <v>259</v>
      </c>
      <c r="B266" s="176">
        <f>INDEX(Data[FY2026 Budget Enrollment],MATCH(A266,Data[Label],0))</f>
        <v>1427.7</v>
      </c>
      <c r="C266" s="177">
        <f>INDEX(Data[FY2026 RPDC Total],MATCH(A266,Data[Label],0))+INDEX(Data[FY2026 RPDC Budget Guarantee],MATCH(A266,Data[Label],0))</f>
        <v>11404468</v>
      </c>
      <c r="D266" s="177">
        <f>'FY2027 Categoricals Report'!L266</f>
        <v>1922340</v>
      </c>
      <c r="E266" s="177">
        <f>ROUND((INDEX(Data[FY2026 Media Services],MATCH(A266,Data[Label],0))+INDEX(Data[FY2026 Ed Services],MATCH(A266,Data[Label],0)))*B266,0)</f>
        <v>194795</v>
      </c>
      <c r="F266" s="193">
        <f t="shared" si="20"/>
        <v>13521603</v>
      </c>
      <c r="G266" s="244">
        <f>INDEX(Data[FY2027 Budget Enrollment],MATCH(A266,Data[Label],0))</f>
        <v>1464.7</v>
      </c>
      <c r="H266" s="177">
        <f>'FY2027 RPDC Report'!K266</f>
        <v>11934375.6</v>
      </c>
      <c r="I266" s="177">
        <f>'FY2027 Categoricals Report'!W266</f>
        <v>2037957</v>
      </c>
      <c r="J266" s="177">
        <f>(ROUND(INDEX(Data[FY2026 Media Services],MATCH(A266,Data[Label],0))*(1+$B$6),2)+ROUND(INDEX(Data[FY2026 Ed Services],MATCH(A266,Data[Label],0))*(1+$B$6),2))*G266</f>
        <v>203842.29900000003</v>
      </c>
      <c r="K266" s="177">
        <f t="shared" si="21"/>
        <v>14176174.899</v>
      </c>
      <c r="L266" s="177">
        <f t="shared" si="22"/>
        <v>654571.89900000021</v>
      </c>
      <c r="M266" s="178">
        <f t="shared" si="23"/>
        <v>4.8409341629095326E-2</v>
      </c>
      <c r="N266" s="179">
        <f t="shared" ref="N266:N334" si="24">G266-B266</f>
        <v>37</v>
      </c>
      <c r="O266" s="180">
        <f t="shared" ref="O266:O329" si="25">N266/B266</f>
        <v>2.5915808643272396E-2</v>
      </c>
    </row>
    <row r="267" spans="1:15" x14ac:dyDescent="0.55000000000000004">
      <c r="A267" s="198" t="s">
        <v>260</v>
      </c>
      <c r="B267" s="181">
        <f>INDEX(Data[FY2026 Budget Enrollment],MATCH(A267,Data[Label],0))</f>
        <v>888.3</v>
      </c>
      <c r="C267" s="182">
        <f>INDEX(Data[FY2026 RPDC Total],MATCH(A267,Data[Label],0))+INDEX(Data[FY2026 RPDC Budget Guarantee],MATCH(A267,Data[Label],0))</f>
        <v>7320136</v>
      </c>
      <c r="D267" s="182">
        <f>'FY2027 Categoricals Report'!L267</f>
        <v>1397852</v>
      </c>
      <c r="E267" s="182">
        <f>ROUND((INDEX(Data[FY2026 Media Services],MATCH(A267,Data[Label],0))+INDEX(Data[FY2026 Ed Services],MATCH(A267,Data[Label],0)))*B267,0)</f>
        <v>123030</v>
      </c>
      <c r="F267" s="194">
        <f t="shared" ref="F267:F330" si="26">E267+D267+C267</f>
        <v>8841018</v>
      </c>
      <c r="G267" s="243">
        <f>INDEX(Data[FY2027 Budget Enrollment],MATCH(A267,Data[Label],0))</f>
        <v>927.4</v>
      </c>
      <c r="H267" s="182">
        <f>'FY2027 RPDC Report'!K267</f>
        <v>7556455.2000000002</v>
      </c>
      <c r="I267" s="182">
        <f>'FY2027 Categoricals Report'!W267</f>
        <v>1497836</v>
      </c>
      <c r="J267" s="182">
        <f>(ROUND(INDEX(Data[FY2026 Media Services],MATCH(A267,Data[Label],0))*(1+$B$6),2)+ROUND(INDEX(Data[FY2026 Ed Services],MATCH(A267,Data[Label],0))*(1+$B$6),2))*G267</f>
        <v>131013.79800000001</v>
      </c>
      <c r="K267" s="182">
        <f t="shared" ref="K267:K330" si="27">I267+J267+H267</f>
        <v>9185304.9979999997</v>
      </c>
      <c r="L267" s="182">
        <f t="shared" ref="L267:L330" si="28">K267-F267</f>
        <v>344286.99799999967</v>
      </c>
      <c r="M267" s="178">
        <f t="shared" ref="M267:M330" si="29">L267/F267</f>
        <v>3.8942008488162753E-2</v>
      </c>
      <c r="N267" s="184">
        <f t="shared" si="24"/>
        <v>39.100000000000023</v>
      </c>
      <c r="O267" s="185">
        <f t="shared" si="25"/>
        <v>4.4016661037937659E-2</v>
      </c>
    </row>
    <row r="268" spans="1:15" x14ac:dyDescent="0.55000000000000004">
      <c r="A268" s="197" t="s">
        <v>261</v>
      </c>
      <c r="B268" s="176">
        <f>INDEX(Data[FY2026 Budget Enrollment],MATCH(A268,Data[Label],0))</f>
        <v>609.6</v>
      </c>
      <c r="C268" s="177">
        <f>INDEX(Data[FY2026 RPDC Total],MATCH(A268,Data[Label],0))+INDEX(Data[FY2026 RPDC Budget Guarantee],MATCH(A268,Data[Label],0))</f>
        <v>4882896</v>
      </c>
      <c r="D268" s="177">
        <f>'FY2027 Categoricals Report'!L268</f>
        <v>984301</v>
      </c>
      <c r="E268" s="177">
        <f>ROUND((INDEX(Data[FY2026 Media Services],MATCH(A268,Data[Label],0))+INDEX(Data[FY2026 Ed Services],MATCH(A268,Data[Label],0)))*B268,0)</f>
        <v>84430</v>
      </c>
      <c r="F268" s="193">
        <f t="shared" si="26"/>
        <v>5951627</v>
      </c>
      <c r="G268" s="244">
        <f>INDEX(Data[FY2027 Budget Enrollment],MATCH(A268,Data[Label],0))</f>
        <v>625.20000000000005</v>
      </c>
      <c r="H268" s="177">
        <f>'FY2027 RPDC Report'!K268</f>
        <v>5107884</v>
      </c>
      <c r="I268" s="177">
        <f>'FY2027 Categoricals Report'!W268</f>
        <v>1026477</v>
      </c>
      <c r="J268" s="177">
        <f>(ROUND(INDEX(Data[FY2026 Media Services],MATCH(A268,Data[Label],0))*(1+$B$6),2)+ROUND(INDEX(Data[FY2026 Ed Services],MATCH(A268,Data[Label],0))*(1+$B$6),2))*G268</f>
        <v>88322.004000000015</v>
      </c>
      <c r="K268" s="177">
        <f t="shared" si="27"/>
        <v>6222683.0039999997</v>
      </c>
      <c r="L268" s="177">
        <f t="shared" si="28"/>
        <v>271056.00399999972</v>
      </c>
      <c r="M268" s="178">
        <f t="shared" si="29"/>
        <v>4.5543177353016197E-2</v>
      </c>
      <c r="N268" s="179">
        <f t="shared" si="24"/>
        <v>15.600000000000023</v>
      </c>
      <c r="O268" s="180">
        <f t="shared" si="25"/>
        <v>2.55905511811024E-2</v>
      </c>
    </row>
    <row r="269" spans="1:15" x14ac:dyDescent="0.55000000000000004">
      <c r="A269" s="198" t="s">
        <v>262</v>
      </c>
      <c r="B269" s="181">
        <f>INDEX(Data[FY2026 Budget Enrollment],MATCH(A269,Data[Label],0))</f>
        <v>575.79999999999995</v>
      </c>
      <c r="C269" s="182">
        <f>INDEX(Data[FY2026 RPDC Total],MATCH(A269,Data[Label],0))+INDEX(Data[FY2026 RPDC Budget Guarantee],MATCH(A269,Data[Label],0))</f>
        <v>4606976</v>
      </c>
      <c r="D269" s="182">
        <f>'FY2027 Categoricals Report'!L269</f>
        <v>1067055</v>
      </c>
      <c r="E269" s="182">
        <f>ROUND((INDEX(Data[FY2026 Media Services],MATCH(A269,Data[Label],0))+INDEX(Data[FY2026 Ed Services],MATCH(A269,Data[Label],0)))*B269,0)</f>
        <v>79650</v>
      </c>
      <c r="F269" s="194">
        <f t="shared" si="26"/>
        <v>5753681</v>
      </c>
      <c r="G269" s="243">
        <f>INDEX(Data[FY2027 Budget Enrollment],MATCH(A269,Data[Label],0))</f>
        <v>578.1</v>
      </c>
      <c r="H269" s="182">
        <f>'FY2027 RPDC Report'!K269</f>
        <v>4717874.1000000006</v>
      </c>
      <c r="I269" s="182">
        <f>'FY2027 Categoricals Report'!W269</f>
        <v>1100228</v>
      </c>
      <c r="J269" s="182">
        <f>(ROUND(INDEX(Data[FY2026 Media Services],MATCH(A269,Data[Label],0))*(1+$B$6),2)+ROUND(INDEX(Data[FY2026 Ed Services],MATCH(A269,Data[Label],0))*(1+$B$6),2))*G269</f>
        <v>81569.91</v>
      </c>
      <c r="K269" s="182">
        <f t="shared" si="27"/>
        <v>5899672.0100000007</v>
      </c>
      <c r="L269" s="182">
        <f t="shared" si="28"/>
        <v>145991.01000000071</v>
      </c>
      <c r="M269" s="178">
        <f t="shared" si="29"/>
        <v>2.5373497418435382E-2</v>
      </c>
      <c r="N269" s="184">
        <f t="shared" si="24"/>
        <v>2.3000000000000682</v>
      </c>
      <c r="O269" s="185">
        <f t="shared" si="25"/>
        <v>3.9944425147621886E-3</v>
      </c>
    </row>
    <row r="270" spans="1:15" x14ac:dyDescent="0.55000000000000004">
      <c r="A270" s="197" t="s">
        <v>263</v>
      </c>
      <c r="B270" s="176">
        <f>INDEX(Data[FY2026 Budget Enrollment],MATCH(A270,Data[Label],0))</f>
        <v>188.3</v>
      </c>
      <c r="C270" s="177">
        <f>INDEX(Data[FY2026 RPDC Total],MATCH(A270,Data[Label],0))+INDEX(Data[FY2026 RPDC Budget Guarantee],MATCH(A270,Data[Label],0))</f>
        <v>1559511</v>
      </c>
      <c r="D270" s="177">
        <f>'FY2027 Categoricals Report'!L270</f>
        <v>375350</v>
      </c>
      <c r="E270" s="177">
        <f>ROUND((INDEX(Data[FY2026 Media Services],MATCH(A270,Data[Label],0))+INDEX(Data[FY2026 Ed Services],MATCH(A270,Data[Label],0)))*B270,0)</f>
        <v>25769</v>
      </c>
      <c r="F270" s="193">
        <f t="shared" si="26"/>
        <v>1960630</v>
      </c>
      <c r="G270" s="244">
        <f>INDEX(Data[FY2027 Budget Enrollment],MATCH(A270,Data[Label],0))</f>
        <v>165.6</v>
      </c>
      <c r="H270" s="177">
        <f>'FY2027 RPDC Report'!K270</f>
        <v>1519181.8</v>
      </c>
      <c r="I270" s="177">
        <f>'FY2027 Categoricals Report'!W270</f>
        <v>372661</v>
      </c>
      <c r="J270" s="177">
        <f>(ROUND(INDEX(Data[FY2026 Media Services],MATCH(A270,Data[Label],0))*(1+$B$6),2)+ROUND(INDEX(Data[FY2026 Ed Services],MATCH(A270,Data[Label],0))*(1+$B$6),2))*G270</f>
        <v>23116.103999999999</v>
      </c>
      <c r="K270" s="177">
        <f t="shared" si="27"/>
        <v>1914958.9040000001</v>
      </c>
      <c r="L270" s="177">
        <f t="shared" si="28"/>
        <v>-45671.095999999903</v>
      </c>
      <c r="M270" s="178">
        <f t="shared" si="29"/>
        <v>-2.3294092205056488E-2</v>
      </c>
      <c r="N270" s="179">
        <f t="shared" si="24"/>
        <v>-22.700000000000017</v>
      </c>
      <c r="O270" s="180">
        <f t="shared" si="25"/>
        <v>-0.1205523101433883</v>
      </c>
    </row>
    <row r="271" spans="1:15" x14ac:dyDescent="0.55000000000000004">
      <c r="A271" s="198" t="s">
        <v>264</v>
      </c>
      <c r="B271" s="181">
        <f>INDEX(Data[FY2026 Budget Enrollment],MATCH(A271,Data[Label],0))</f>
        <v>1365.4</v>
      </c>
      <c r="C271" s="182">
        <f>INDEX(Data[FY2026 RPDC Total],MATCH(A271,Data[Label],0))+INDEX(Data[FY2026 RPDC Budget Guarantee],MATCH(A271,Data[Label],0))</f>
        <v>11069916</v>
      </c>
      <c r="D271" s="182">
        <f>'FY2027 Categoricals Report'!L271</f>
        <v>1987525</v>
      </c>
      <c r="E271" s="182">
        <f>ROUND((INDEX(Data[FY2026 Media Services],MATCH(A271,Data[Label],0))+INDEX(Data[FY2026 Ed Services],MATCH(A271,Data[Label],0)))*B271,0)</f>
        <v>188521</v>
      </c>
      <c r="F271" s="194">
        <f t="shared" si="26"/>
        <v>13245962</v>
      </c>
      <c r="G271" s="243">
        <f>INDEX(Data[FY2027 Budget Enrollment],MATCH(A271,Data[Label],0))</f>
        <v>1328.5</v>
      </c>
      <c r="H271" s="182">
        <f>'FY2027 RPDC Report'!K271</f>
        <v>11015883</v>
      </c>
      <c r="I271" s="182">
        <f>'FY2027 Categoricals Report'!W271</f>
        <v>1996669</v>
      </c>
      <c r="J271" s="182">
        <f>(ROUND(INDEX(Data[FY2026 Media Services],MATCH(A271,Data[Label],0))*(1+$B$6),2)+ROUND(INDEX(Data[FY2026 Ed Services],MATCH(A271,Data[Label],0))*(1+$B$6),2))*G271</f>
        <v>187105.93999999997</v>
      </c>
      <c r="K271" s="182">
        <f t="shared" si="27"/>
        <v>13199657.939999999</v>
      </c>
      <c r="L271" s="182">
        <f t="shared" si="28"/>
        <v>-46304.060000000522</v>
      </c>
      <c r="M271" s="178">
        <f t="shared" si="29"/>
        <v>-3.495711372265791E-3</v>
      </c>
      <c r="N271" s="184">
        <f t="shared" si="24"/>
        <v>-36.900000000000091</v>
      </c>
      <c r="O271" s="185">
        <f t="shared" si="25"/>
        <v>-2.7025047605097472E-2</v>
      </c>
    </row>
    <row r="272" spans="1:15" x14ac:dyDescent="0.55000000000000004">
      <c r="A272" s="197" t="s">
        <v>265</v>
      </c>
      <c r="B272" s="176">
        <f>INDEX(Data[FY2026 Budget Enrollment],MATCH(A272,Data[Label],0))</f>
        <v>538.79999999999995</v>
      </c>
      <c r="C272" s="177">
        <f>INDEX(Data[FY2026 RPDC Total],MATCH(A272,Data[Label],0))+INDEX(Data[FY2026 RPDC Budget Guarantee],MATCH(A272,Data[Label],0))</f>
        <v>4303934</v>
      </c>
      <c r="D272" s="177">
        <f>'FY2027 Categoricals Report'!L272</f>
        <v>1006773</v>
      </c>
      <c r="E272" s="177">
        <f>ROUND((INDEX(Data[FY2026 Media Services],MATCH(A272,Data[Label],0))+INDEX(Data[FY2026 Ed Services],MATCH(A272,Data[Label],0)))*B272,0)</f>
        <v>74327</v>
      </c>
      <c r="F272" s="193">
        <f t="shared" si="26"/>
        <v>5385034</v>
      </c>
      <c r="G272" s="244">
        <f>INDEX(Data[FY2027 Budget Enrollment],MATCH(A272,Data[Label],0))</f>
        <v>518.20000000000005</v>
      </c>
      <c r="H272" s="177">
        <f>'FY2027 RPDC Report'!K272</f>
        <v>4346973.6000000006</v>
      </c>
      <c r="I272" s="177">
        <f>'FY2027 Categoricals Report'!W272</f>
        <v>1007937</v>
      </c>
      <c r="J272" s="177">
        <f>(ROUND(INDEX(Data[FY2026 Media Services],MATCH(A272,Data[Label],0))*(1+$B$6),2)+ROUND(INDEX(Data[FY2026 Ed Services],MATCH(A272,Data[Label],0))*(1+$B$6),2))*G272</f>
        <v>72915.921999999991</v>
      </c>
      <c r="K272" s="177">
        <f t="shared" si="27"/>
        <v>5427826.5220000008</v>
      </c>
      <c r="L272" s="177">
        <f t="shared" si="28"/>
        <v>42792.522000000812</v>
      </c>
      <c r="M272" s="178">
        <f t="shared" si="29"/>
        <v>7.9465648684856616E-3</v>
      </c>
      <c r="N272" s="179">
        <f t="shared" si="24"/>
        <v>-20.599999999999909</v>
      </c>
      <c r="O272" s="180">
        <f t="shared" si="25"/>
        <v>-3.8233110616183945E-2</v>
      </c>
    </row>
    <row r="273" spans="1:15" x14ac:dyDescent="0.55000000000000004">
      <c r="A273" s="198" t="s">
        <v>266</v>
      </c>
      <c r="B273" s="181">
        <f>INDEX(Data[FY2026 Budget Enrollment],MATCH(A273,Data[Label],0))</f>
        <v>7288.6</v>
      </c>
      <c r="C273" s="182">
        <f>INDEX(Data[FY2026 RPDC Total],MATCH(A273,Data[Label],0))+INDEX(Data[FY2026 RPDC Budget Guarantee],MATCH(A273,Data[Label],0))</f>
        <v>58221337</v>
      </c>
      <c r="D273" s="182">
        <f>'FY2027 Categoricals Report'!L273</f>
        <v>9511182</v>
      </c>
      <c r="E273" s="182">
        <f>ROUND((INDEX(Data[FY2026 Media Services],MATCH(A273,Data[Label],0))+INDEX(Data[FY2026 Ed Services],MATCH(A273,Data[Label],0)))*B273,0)</f>
        <v>992270</v>
      </c>
      <c r="F273" s="194">
        <f t="shared" si="26"/>
        <v>68724789</v>
      </c>
      <c r="G273" s="243">
        <f>INDEX(Data[FY2027 Budget Enrollment],MATCH(A273,Data[Label],0))</f>
        <v>7299.6</v>
      </c>
      <c r="H273" s="182">
        <f>'FY2027 RPDC Report'!K273</f>
        <v>59477140.800000004</v>
      </c>
      <c r="I273" s="182">
        <f>'FY2027 Categoricals Report'!W273</f>
        <v>9850435</v>
      </c>
      <c r="J273" s="182">
        <f>(ROUND(INDEX(Data[FY2026 Media Services],MATCH(A273,Data[Label],0))*(1+$B$6),2)+ROUND(INDEX(Data[FY2026 Ed Services],MATCH(A273,Data[Label],0))*(1+$B$6),2))*G273</f>
        <v>1013695.452</v>
      </c>
      <c r="K273" s="182">
        <f t="shared" si="27"/>
        <v>70341271.252000004</v>
      </c>
      <c r="L273" s="182">
        <f t="shared" si="28"/>
        <v>1616482.2520000041</v>
      </c>
      <c r="M273" s="178">
        <f t="shared" si="29"/>
        <v>2.3521094433625749E-2</v>
      </c>
      <c r="N273" s="184">
        <f t="shared" si="24"/>
        <v>11</v>
      </c>
      <c r="O273" s="185">
        <f t="shared" si="25"/>
        <v>1.5092061575611227E-3</v>
      </c>
    </row>
    <row r="274" spans="1:15" x14ac:dyDescent="0.55000000000000004">
      <c r="A274" s="197" t="s">
        <v>267</v>
      </c>
      <c r="B274" s="176">
        <f>INDEX(Data[FY2026 Budget Enrollment],MATCH(A274,Data[Label],0))</f>
        <v>1105.0999999999999</v>
      </c>
      <c r="C274" s="177">
        <f>INDEX(Data[FY2026 RPDC Total],MATCH(A274,Data[Label],0))+INDEX(Data[FY2026 RPDC Budget Guarantee],MATCH(A274,Data[Label],0))</f>
        <v>8920367</v>
      </c>
      <c r="D274" s="177">
        <f>'FY2027 Categoricals Report'!L274</f>
        <v>2051424</v>
      </c>
      <c r="E274" s="177">
        <f>ROUND((INDEX(Data[FY2026 Media Services],MATCH(A274,Data[Label],0))+INDEX(Data[FY2026 Ed Services],MATCH(A274,Data[Label],0)))*B274,0)</f>
        <v>153056</v>
      </c>
      <c r="F274" s="193">
        <f t="shared" si="26"/>
        <v>11124847</v>
      </c>
      <c r="G274" s="244">
        <f>INDEX(Data[FY2027 Budget Enrollment],MATCH(A274,Data[Label],0))</f>
        <v>1045</v>
      </c>
      <c r="H274" s="177">
        <f>'FY2027 RPDC Report'!K274</f>
        <v>9009571</v>
      </c>
      <c r="I274" s="177">
        <f>'FY2027 Categoricals Report'!W274</f>
        <v>2051424</v>
      </c>
      <c r="J274" s="177">
        <f>(ROUND(INDEX(Data[FY2026 Media Services],MATCH(A274,Data[Label],0))*(1+$B$6),2)+ROUND(INDEX(Data[FY2026 Ed Services],MATCH(A274,Data[Label],0))*(1+$B$6),2))*G274</f>
        <v>147627.15000000002</v>
      </c>
      <c r="K274" s="177">
        <f t="shared" si="27"/>
        <v>11208622.15</v>
      </c>
      <c r="L274" s="177">
        <f t="shared" si="28"/>
        <v>83775.150000000373</v>
      </c>
      <c r="M274" s="178">
        <f t="shared" si="29"/>
        <v>7.5304541266949894E-3</v>
      </c>
      <c r="N274" s="179">
        <f t="shared" si="24"/>
        <v>-60.099999999999909</v>
      </c>
      <c r="O274" s="180">
        <f t="shared" si="25"/>
        <v>-5.4384218622748996E-2</v>
      </c>
    </row>
    <row r="275" spans="1:15" x14ac:dyDescent="0.55000000000000004">
      <c r="A275" s="198" t="s">
        <v>268</v>
      </c>
      <c r="B275" s="181">
        <f>INDEX(Data[FY2026 Budget Enrollment],MATCH(A275,Data[Label],0))</f>
        <v>488.9</v>
      </c>
      <c r="C275" s="182">
        <f>INDEX(Data[FY2026 RPDC Total],MATCH(A275,Data[Label],0))+INDEX(Data[FY2026 RPDC Budget Guarantee],MATCH(A275,Data[Label],0))</f>
        <v>3905333</v>
      </c>
      <c r="D275" s="182">
        <f>'FY2027 Categoricals Report'!L275</f>
        <v>823090</v>
      </c>
      <c r="E275" s="182">
        <f>ROUND((INDEX(Data[FY2026 Media Services],MATCH(A275,Data[Label],0))+INDEX(Data[FY2026 Ed Services],MATCH(A275,Data[Label],0)))*B275,0)</f>
        <v>66559</v>
      </c>
      <c r="F275" s="194">
        <f t="shared" si="26"/>
        <v>4794982</v>
      </c>
      <c r="G275" s="243">
        <f>INDEX(Data[FY2027 Budget Enrollment],MATCH(A275,Data[Label],0))</f>
        <v>470</v>
      </c>
      <c r="H275" s="182">
        <f>'FY2027 RPDC Report'!K275</f>
        <v>3944386</v>
      </c>
      <c r="I275" s="182">
        <f>'FY2027 Categoricals Report'!W275</f>
        <v>823090</v>
      </c>
      <c r="J275" s="182">
        <f>(ROUND(INDEX(Data[FY2026 Media Services],MATCH(A275,Data[Label],0))*(1+$B$6),2)+ROUND(INDEX(Data[FY2026 Ed Services],MATCH(A275,Data[Label],0))*(1+$B$6),2))*G275</f>
        <v>65268.9</v>
      </c>
      <c r="K275" s="182">
        <f t="shared" si="27"/>
        <v>4832744.9000000004</v>
      </c>
      <c r="L275" s="182">
        <f t="shared" si="28"/>
        <v>37762.900000000373</v>
      </c>
      <c r="M275" s="178">
        <f t="shared" si="29"/>
        <v>7.875504016490651E-3</v>
      </c>
      <c r="N275" s="184">
        <f t="shared" si="24"/>
        <v>-18.899999999999977</v>
      </c>
      <c r="O275" s="185">
        <f t="shared" si="25"/>
        <v>-3.865821231335647E-2</v>
      </c>
    </row>
    <row r="276" spans="1:15" x14ac:dyDescent="0.55000000000000004">
      <c r="A276" s="197" t="s">
        <v>269</v>
      </c>
      <c r="B276" s="176">
        <f>INDEX(Data[FY2026 Budget Enrollment],MATCH(A276,Data[Label],0))</f>
        <v>1947.2</v>
      </c>
      <c r="C276" s="177">
        <f>INDEX(Data[FY2026 RPDC Total],MATCH(A276,Data[Label],0))+INDEX(Data[FY2026 RPDC Budget Guarantee],MATCH(A276,Data[Label],0))</f>
        <v>15902580</v>
      </c>
      <c r="D276" s="177">
        <f>'FY2027 Categoricals Report'!L276</f>
        <v>2839217</v>
      </c>
      <c r="E276" s="177">
        <f>ROUND((INDEX(Data[FY2026 Media Services],MATCH(A276,Data[Label],0))+INDEX(Data[FY2026 Ed Services],MATCH(A276,Data[Label],0)))*B276,0)</f>
        <v>269687</v>
      </c>
      <c r="F276" s="193">
        <f t="shared" si="26"/>
        <v>19011484</v>
      </c>
      <c r="G276" s="244">
        <f>INDEX(Data[FY2027 Budget Enrollment],MATCH(A276,Data[Label],0))</f>
        <v>1863.9</v>
      </c>
      <c r="H276" s="177">
        <f>'FY2027 RPDC Report'!K276</f>
        <v>15709776.200000001</v>
      </c>
      <c r="I276" s="177">
        <f>'FY2027 Categoricals Report'!W276</f>
        <v>2848084</v>
      </c>
      <c r="J276" s="177">
        <f>(ROUND(INDEX(Data[FY2026 Media Services],MATCH(A276,Data[Label],0))*(1+$B$6),2)+ROUND(INDEX(Data[FY2026 Ed Services],MATCH(A276,Data[Label],0))*(1+$B$6),2))*G276</f>
        <v>263313.15300000005</v>
      </c>
      <c r="K276" s="177">
        <f t="shared" si="27"/>
        <v>18821173.353</v>
      </c>
      <c r="L276" s="177">
        <f t="shared" si="28"/>
        <v>-190310.64699999988</v>
      </c>
      <c r="M276" s="178">
        <f t="shared" si="29"/>
        <v>-1.0010299406400882E-2</v>
      </c>
      <c r="N276" s="179">
        <f t="shared" si="24"/>
        <v>-83.299999999999955</v>
      </c>
      <c r="O276" s="180">
        <f t="shared" si="25"/>
        <v>-4.2779375513557906E-2</v>
      </c>
    </row>
    <row r="277" spans="1:15" x14ac:dyDescent="0.55000000000000004">
      <c r="A277" s="198" t="s">
        <v>270</v>
      </c>
      <c r="B277" s="181">
        <f>INDEX(Data[FY2026 Budget Enrollment],MATCH(A277,Data[Label],0))</f>
        <v>1149.9000000000001</v>
      </c>
      <c r="C277" s="182">
        <f>INDEX(Data[FY2026 RPDC Total],MATCH(A277,Data[Label],0))+INDEX(Data[FY2026 RPDC Budget Guarantee],MATCH(A277,Data[Label],0))</f>
        <v>9253517</v>
      </c>
      <c r="D277" s="182">
        <f>'FY2027 Categoricals Report'!L277</f>
        <v>1598913</v>
      </c>
      <c r="E277" s="182">
        <f>ROUND((INDEX(Data[FY2026 Media Services],MATCH(A277,Data[Label],0))+INDEX(Data[FY2026 Ed Services],MATCH(A277,Data[Label],0)))*B277,0)</f>
        <v>159261</v>
      </c>
      <c r="F277" s="194">
        <f t="shared" si="26"/>
        <v>11011691</v>
      </c>
      <c r="G277" s="243">
        <f>INDEX(Data[FY2027 Budget Enrollment],MATCH(A277,Data[Label],0))</f>
        <v>1125.7</v>
      </c>
      <c r="H277" s="182">
        <f>'FY2027 RPDC Report'!K277</f>
        <v>9277254.5999999996</v>
      </c>
      <c r="I277" s="182">
        <f>'FY2027 Categoricals Report'!W277</f>
        <v>1598913</v>
      </c>
      <c r="J277" s="182">
        <f>(ROUND(INDEX(Data[FY2026 Media Services],MATCH(A277,Data[Label],0))*(1+$B$6),2)+ROUND(INDEX(Data[FY2026 Ed Services],MATCH(A277,Data[Label],0))*(1+$B$6),2))*G277</f>
        <v>159027.63900000002</v>
      </c>
      <c r="K277" s="182">
        <f t="shared" si="27"/>
        <v>11035195.239</v>
      </c>
      <c r="L277" s="182">
        <f t="shared" si="28"/>
        <v>23504.23900000006</v>
      </c>
      <c r="M277" s="178">
        <f t="shared" si="29"/>
        <v>2.1344804353845438E-3</v>
      </c>
      <c r="N277" s="184">
        <f t="shared" si="24"/>
        <v>-24.200000000000045</v>
      </c>
      <c r="O277" s="185">
        <f t="shared" si="25"/>
        <v>-2.1045308287677228E-2</v>
      </c>
    </row>
    <row r="278" spans="1:15" x14ac:dyDescent="0.55000000000000004">
      <c r="A278" s="197" t="s">
        <v>271</v>
      </c>
      <c r="B278" s="176">
        <f>INDEX(Data[FY2026 Budget Enrollment],MATCH(A278,Data[Label],0))</f>
        <v>404</v>
      </c>
      <c r="C278" s="177">
        <f>INDEX(Data[FY2026 RPDC Total],MATCH(A278,Data[Label],0))+INDEX(Data[FY2026 RPDC Budget Guarantee],MATCH(A278,Data[Label],0))</f>
        <v>3252347</v>
      </c>
      <c r="D278" s="177">
        <f>'FY2027 Categoricals Report'!L278</f>
        <v>853044</v>
      </c>
      <c r="E278" s="177">
        <f>ROUND((INDEX(Data[FY2026 Media Services],MATCH(A278,Data[Label],0))+INDEX(Data[FY2026 Ed Services],MATCH(A278,Data[Label],0)))*B278,0)</f>
        <v>55122</v>
      </c>
      <c r="F278" s="193">
        <f t="shared" si="26"/>
        <v>4160513</v>
      </c>
      <c r="G278" s="244">
        <f>INDEX(Data[FY2027 Budget Enrollment],MATCH(A278,Data[Label],0))</f>
        <v>403.5</v>
      </c>
      <c r="H278" s="177">
        <f>'FY2027 RPDC Report'!K278</f>
        <v>3288525</v>
      </c>
      <c r="I278" s="177">
        <f>'FY2027 Categoricals Report'!W278</f>
        <v>868446</v>
      </c>
      <c r="J278" s="177">
        <f>(ROUND(INDEX(Data[FY2026 Media Services],MATCH(A278,Data[Label],0))*(1+$B$6),2)+ROUND(INDEX(Data[FY2026 Ed Services],MATCH(A278,Data[Label],0))*(1+$B$6),2))*G278</f>
        <v>56155.095000000008</v>
      </c>
      <c r="K278" s="177">
        <f t="shared" si="27"/>
        <v>4213126.0949999997</v>
      </c>
      <c r="L278" s="177">
        <f t="shared" si="28"/>
        <v>52613.094999999739</v>
      </c>
      <c r="M278" s="178">
        <f t="shared" si="29"/>
        <v>1.2645819157397114E-2</v>
      </c>
      <c r="N278" s="179">
        <f t="shared" si="24"/>
        <v>-0.5</v>
      </c>
      <c r="O278" s="180">
        <f t="shared" si="25"/>
        <v>-1.2376237623762376E-3</v>
      </c>
    </row>
    <row r="279" spans="1:15" x14ac:dyDescent="0.55000000000000004">
      <c r="A279" s="198" t="s">
        <v>272</v>
      </c>
      <c r="B279" s="181">
        <f>INDEX(Data[FY2026 Budget Enrollment],MATCH(A279,Data[Label],0))</f>
        <v>612.29999999999995</v>
      </c>
      <c r="C279" s="182">
        <f>INDEX(Data[FY2026 RPDC Total],MATCH(A279,Data[Label],0))+INDEX(Data[FY2026 RPDC Budget Guarantee],MATCH(A279,Data[Label],0))</f>
        <v>4891052</v>
      </c>
      <c r="D279" s="182">
        <f>'FY2027 Categoricals Report'!L279</f>
        <v>904238</v>
      </c>
      <c r="E279" s="182">
        <f>ROUND((INDEX(Data[FY2026 Media Services],MATCH(A279,Data[Label],0))+INDEX(Data[FY2026 Ed Services],MATCH(A279,Data[Label],0)))*B279,0)</f>
        <v>84540</v>
      </c>
      <c r="F279" s="194">
        <f t="shared" si="26"/>
        <v>5879830</v>
      </c>
      <c r="G279" s="243">
        <f>INDEX(Data[FY2027 Budget Enrollment],MATCH(A279,Data[Label],0))</f>
        <v>615.70000000000005</v>
      </c>
      <c r="H279" s="182">
        <f>'FY2027 RPDC Report'!K279</f>
        <v>5016723.6000000006</v>
      </c>
      <c r="I279" s="182">
        <f>'FY2027 Categoricals Report'!W279</f>
        <v>924430</v>
      </c>
      <c r="J279" s="182">
        <f>(ROUND(INDEX(Data[FY2026 Media Services],MATCH(A279,Data[Label],0))*(1+$B$6),2)+ROUND(INDEX(Data[FY2026 Ed Services],MATCH(A279,Data[Label],0))*(1+$B$6),2))*G279</f>
        <v>86715.187999999995</v>
      </c>
      <c r="K279" s="182">
        <f t="shared" si="27"/>
        <v>6027868.7880000006</v>
      </c>
      <c r="L279" s="182">
        <f t="shared" si="28"/>
        <v>148038.78800000064</v>
      </c>
      <c r="M279" s="178">
        <f t="shared" si="29"/>
        <v>2.5177392543662084E-2</v>
      </c>
      <c r="N279" s="184">
        <f t="shared" si="24"/>
        <v>3.4000000000000909</v>
      </c>
      <c r="O279" s="185">
        <f t="shared" si="25"/>
        <v>5.5528335783114344E-3</v>
      </c>
    </row>
    <row r="280" spans="1:15" x14ac:dyDescent="0.55000000000000004">
      <c r="A280" s="197" t="s">
        <v>273</v>
      </c>
      <c r="B280" s="176">
        <f>INDEX(Data[FY2026 Budget Enrollment],MATCH(A280,Data[Label],0))</f>
        <v>198.1</v>
      </c>
      <c r="C280" s="177">
        <f>INDEX(Data[FY2026 RPDC Total],MATCH(A280,Data[Label],0))+INDEX(Data[FY2026 RPDC Budget Guarantee],MATCH(A280,Data[Label],0))</f>
        <v>1582423</v>
      </c>
      <c r="D280" s="177">
        <f>'FY2027 Categoricals Report'!L280</f>
        <v>398720</v>
      </c>
      <c r="E280" s="177">
        <f>ROUND((INDEX(Data[FY2026 Media Services],MATCH(A280,Data[Label],0))+INDEX(Data[FY2026 Ed Services],MATCH(A280,Data[Label],0)))*B280,0)</f>
        <v>27110</v>
      </c>
      <c r="F280" s="193">
        <f t="shared" si="26"/>
        <v>2008253</v>
      </c>
      <c r="G280" s="244">
        <f>INDEX(Data[FY2027 Budget Enrollment],MATCH(A280,Data[Label],0))</f>
        <v>184.2</v>
      </c>
      <c r="H280" s="177">
        <f>'FY2027 RPDC Report'!K280</f>
        <v>1598247.5999999999</v>
      </c>
      <c r="I280" s="177">
        <f>'FY2027 Categoricals Report'!W280</f>
        <v>398720</v>
      </c>
      <c r="J280" s="177">
        <f>(ROUND(INDEX(Data[FY2026 Media Services],MATCH(A280,Data[Label],0))*(1+$B$6),2)+ROUND(INDEX(Data[FY2026 Ed Services],MATCH(A280,Data[Label],0))*(1+$B$6),2))*G280</f>
        <v>25712.477999999999</v>
      </c>
      <c r="K280" s="177">
        <f t="shared" si="27"/>
        <v>2022680.0779999997</v>
      </c>
      <c r="L280" s="177">
        <f t="shared" si="28"/>
        <v>14427.077999999747</v>
      </c>
      <c r="M280" s="178">
        <f t="shared" si="29"/>
        <v>7.1838946586907856E-3</v>
      </c>
      <c r="N280" s="179">
        <f t="shared" si="24"/>
        <v>-13.900000000000006</v>
      </c>
      <c r="O280" s="180">
        <f t="shared" si="25"/>
        <v>-7.0166582534073735E-2</v>
      </c>
    </row>
    <row r="281" spans="1:15" x14ac:dyDescent="0.55000000000000004">
      <c r="A281" s="198" t="s">
        <v>274</v>
      </c>
      <c r="B281" s="181">
        <f>INDEX(Data[FY2026 Budget Enrollment],MATCH(A281,Data[Label],0))</f>
        <v>540</v>
      </c>
      <c r="C281" s="182">
        <f>INDEX(Data[FY2026 RPDC Total],MATCH(A281,Data[Label],0))+INDEX(Data[FY2026 RPDC Budget Guarantee],MATCH(A281,Data[Label],0))</f>
        <v>4544159</v>
      </c>
      <c r="D281" s="182">
        <f>'FY2027 Categoricals Report'!L281</f>
        <v>895486</v>
      </c>
      <c r="E281" s="182">
        <f>ROUND((INDEX(Data[FY2026 Media Services],MATCH(A281,Data[Label],0))+INDEX(Data[FY2026 Ed Services],MATCH(A281,Data[Label],0)))*B281,0)</f>
        <v>74493</v>
      </c>
      <c r="F281" s="194">
        <f t="shared" si="26"/>
        <v>5514138</v>
      </c>
      <c r="G281" s="243">
        <f>INDEX(Data[FY2027 Budget Enrollment],MATCH(A281,Data[Label],0))</f>
        <v>527.9</v>
      </c>
      <c r="H281" s="182">
        <f>'FY2027 RPDC Report'!K281</f>
        <v>4356655.2</v>
      </c>
      <c r="I281" s="182">
        <f>'FY2027 Categoricals Report'!W281</f>
        <v>882933</v>
      </c>
      <c r="J281" s="182">
        <f>(ROUND(INDEX(Data[FY2026 Media Services],MATCH(A281,Data[Label],0))*(1+$B$6),2)+ROUND(INDEX(Data[FY2026 Ed Services],MATCH(A281,Data[Label],0))*(1+$B$6),2))*G281</f>
        <v>74280.808999999979</v>
      </c>
      <c r="K281" s="182">
        <f t="shared" si="27"/>
        <v>5313869.0090000005</v>
      </c>
      <c r="L281" s="182">
        <f t="shared" si="28"/>
        <v>-200268.99099999946</v>
      </c>
      <c r="M281" s="178">
        <f t="shared" si="29"/>
        <v>-3.6319183705594504E-2</v>
      </c>
      <c r="N281" s="184">
        <f t="shared" si="24"/>
        <v>-12.100000000000023</v>
      </c>
      <c r="O281" s="185">
        <f t="shared" si="25"/>
        <v>-2.2407407407407449E-2</v>
      </c>
    </row>
    <row r="282" spans="1:15" x14ac:dyDescent="0.55000000000000004">
      <c r="A282" s="197" t="s">
        <v>275</v>
      </c>
      <c r="B282" s="176">
        <f>INDEX(Data[FY2026 Budget Enrollment],MATCH(A282,Data[Label],0))</f>
        <v>2662</v>
      </c>
      <c r="C282" s="177">
        <f>INDEX(Data[FY2026 RPDC Total],MATCH(A282,Data[Label],0))+INDEX(Data[FY2026 RPDC Budget Guarantee],MATCH(A282,Data[Label],0))</f>
        <v>21264056</v>
      </c>
      <c r="D282" s="177">
        <f>'FY2027 Categoricals Report'!L282</f>
        <v>3788247</v>
      </c>
      <c r="E282" s="177">
        <f>ROUND((INDEX(Data[FY2026 Media Services],MATCH(A282,Data[Label],0))+INDEX(Data[FY2026 Ed Services],MATCH(A282,Data[Label],0)))*B282,0)</f>
        <v>368687</v>
      </c>
      <c r="F282" s="193">
        <f t="shared" si="26"/>
        <v>25420990</v>
      </c>
      <c r="G282" s="244">
        <f>INDEX(Data[FY2027 Budget Enrollment],MATCH(A282,Data[Label],0))</f>
        <v>2618.1999999999998</v>
      </c>
      <c r="H282" s="177">
        <f>'FY2027 RPDC Report'!K282</f>
        <v>21476696.599999998</v>
      </c>
      <c r="I282" s="177">
        <f>'FY2027 Categoricals Report'!W282</f>
        <v>3839103</v>
      </c>
      <c r="J282" s="177">
        <f>(ROUND(INDEX(Data[FY2026 Media Services],MATCH(A282,Data[Label],0))*(1+$B$6),2)+ROUND(INDEX(Data[FY2026 Ed Services],MATCH(A282,Data[Label],0))*(1+$B$6),2))*G282</f>
        <v>369873.114</v>
      </c>
      <c r="K282" s="177">
        <f t="shared" si="27"/>
        <v>25685672.713999998</v>
      </c>
      <c r="L282" s="177">
        <f t="shared" si="28"/>
        <v>264682.71399999782</v>
      </c>
      <c r="M282" s="178">
        <f t="shared" si="29"/>
        <v>1.0411975064700384E-2</v>
      </c>
      <c r="N282" s="179">
        <f t="shared" si="24"/>
        <v>-43.800000000000182</v>
      </c>
      <c r="O282" s="180">
        <f t="shared" si="25"/>
        <v>-1.6453794139744623E-2</v>
      </c>
    </row>
    <row r="283" spans="1:15" x14ac:dyDescent="0.55000000000000004">
      <c r="A283" s="198" t="s">
        <v>276</v>
      </c>
      <c r="B283" s="181">
        <f>INDEX(Data[FY2026 Budget Enrollment],MATCH(A283,Data[Label],0))</f>
        <v>137.1</v>
      </c>
      <c r="C283" s="182">
        <f>INDEX(Data[FY2026 RPDC Total],MATCH(A283,Data[Label],0))+INDEX(Data[FY2026 RPDC Budget Guarantee],MATCH(A283,Data[Label],0))</f>
        <v>1173861</v>
      </c>
      <c r="D283" s="182">
        <f>'FY2027 Categoricals Report'!L283</f>
        <v>267938</v>
      </c>
      <c r="E283" s="182">
        <f>ROUND((INDEX(Data[FY2026 Media Services],MATCH(A283,Data[Label],0))+INDEX(Data[FY2026 Ed Services],MATCH(A283,Data[Label],0)))*B283,0)</f>
        <v>18988</v>
      </c>
      <c r="F283" s="194">
        <f t="shared" si="26"/>
        <v>1460787</v>
      </c>
      <c r="G283" s="243">
        <f>INDEX(Data[FY2027 Budget Enrollment],MATCH(A283,Data[Label],0))</f>
        <v>142.1</v>
      </c>
      <c r="H283" s="182">
        <f>'FY2027 RPDC Report'!K283</f>
        <v>1177014.3</v>
      </c>
      <c r="I283" s="182">
        <f>'FY2027 Categoricals Report'!W283</f>
        <v>275997</v>
      </c>
      <c r="J283" s="182">
        <f>(ROUND(INDEX(Data[FY2026 Media Services],MATCH(A283,Data[Label],0))*(1+$B$6),2)+ROUND(INDEX(Data[FY2026 Ed Services],MATCH(A283,Data[Label],0))*(1+$B$6),2))*G283</f>
        <v>20074.467000000001</v>
      </c>
      <c r="K283" s="182">
        <f t="shared" si="27"/>
        <v>1473085.767</v>
      </c>
      <c r="L283" s="182">
        <f t="shared" si="28"/>
        <v>12298.766999999993</v>
      </c>
      <c r="M283" s="178">
        <f t="shared" si="29"/>
        <v>8.4192746786492436E-3</v>
      </c>
      <c r="N283" s="184">
        <f t="shared" si="24"/>
        <v>5</v>
      </c>
      <c r="O283" s="185">
        <f t="shared" si="25"/>
        <v>3.6469730123997082E-2</v>
      </c>
    </row>
    <row r="284" spans="1:15" x14ac:dyDescent="0.55000000000000004">
      <c r="A284" s="197" t="s">
        <v>277</v>
      </c>
      <c r="B284" s="176">
        <f>INDEX(Data[FY2026 Budget Enrollment],MATCH(A284,Data[Label],0))</f>
        <v>759</v>
      </c>
      <c r="C284" s="177">
        <f>INDEX(Data[FY2026 RPDC Total],MATCH(A284,Data[Label],0))+INDEX(Data[FY2026 RPDC Budget Guarantee],MATCH(A284,Data[Label],0))</f>
        <v>6143982</v>
      </c>
      <c r="D284" s="177">
        <f>'FY2027 Categoricals Report'!L284</f>
        <v>1134801</v>
      </c>
      <c r="E284" s="177">
        <f>ROUND((INDEX(Data[FY2026 Media Services],MATCH(A284,Data[Label],0))+INDEX(Data[FY2026 Ed Services],MATCH(A284,Data[Label],0)))*B284,0)</f>
        <v>104795</v>
      </c>
      <c r="F284" s="193">
        <f t="shared" si="26"/>
        <v>7383578</v>
      </c>
      <c r="G284" s="244">
        <f>INDEX(Data[FY2027 Budget Enrollment],MATCH(A284,Data[Label],0))</f>
        <v>737.3</v>
      </c>
      <c r="H284" s="177">
        <f>'FY2027 RPDC Report'!K284</f>
        <v>6123521.3999999994</v>
      </c>
      <c r="I284" s="177">
        <f>'FY2027 Categoricals Report'!W284</f>
        <v>1133871</v>
      </c>
      <c r="J284" s="177">
        <f>(ROUND(INDEX(Data[FY2026 Media Services],MATCH(A284,Data[Label],0))*(1+$B$6),2)+ROUND(INDEX(Data[FY2026 Ed Services],MATCH(A284,Data[Label],0))*(1+$B$6),2))*G284</f>
        <v>103841.33199999998</v>
      </c>
      <c r="K284" s="177">
        <f t="shared" si="27"/>
        <v>7361233.7319999989</v>
      </c>
      <c r="L284" s="177">
        <f t="shared" si="28"/>
        <v>-22344.268000001088</v>
      </c>
      <c r="M284" s="178">
        <f t="shared" si="29"/>
        <v>-3.0262114113240339E-3</v>
      </c>
      <c r="N284" s="179">
        <f t="shared" si="24"/>
        <v>-21.700000000000045</v>
      </c>
      <c r="O284" s="180">
        <f t="shared" si="25"/>
        <v>-2.8590250329380826E-2</v>
      </c>
    </row>
    <row r="285" spans="1:15" x14ac:dyDescent="0.55000000000000004">
      <c r="A285" s="198" t="s">
        <v>278</v>
      </c>
      <c r="B285" s="181">
        <f>INDEX(Data[FY2026 Budget Enrollment],MATCH(A285,Data[Label],0))</f>
        <v>756.5</v>
      </c>
      <c r="C285" s="182">
        <f>INDEX(Data[FY2026 RPDC Total],MATCH(A285,Data[Label],0))+INDEX(Data[FY2026 RPDC Budget Guarantee],MATCH(A285,Data[Label],0))</f>
        <v>6413957</v>
      </c>
      <c r="D285" s="182">
        <f>'FY2027 Categoricals Report'!L285</f>
        <v>1342025</v>
      </c>
      <c r="E285" s="182">
        <f>ROUND((INDEX(Data[FY2026 Media Services],MATCH(A285,Data[Label],0))+INDEX(Data[FY2026 Ed Services],MATCH(A285,Data[Label],0)))*B285,0)</f>
        <v>103217</v>
      </c>
      <c r="F285" s="194">
        <f t="shared" si="26"/>
        <v>7859199</v>
      </c>
      <c r="G285" s="243">
        <f>INDEX(Data[FY2027 Budget Enrollment],MATCH(A285,Data[Label],0))</f>
        <v>752.7</v>
      </c>
      <c r="H285" s="182">
        <f>'FY2027 RPDC Report'!K285</f>
        <v>6141279.3000000007</v>
      </c>
      <c r="I285" s="182">
        <f>'FY2027 Categoricals Report'!W285</f>
        <v>1332776</v>
      </c>
      <c r="J285" s="182">
        <f>(ROUND(INDEX(Data[FY2026 Media Services],MATCH(A285,Data[Label],0))*(1+$B$6),2)+ROUND(INDEX(Data[FY2026 Ed Services],MATCH(A285,Data[Label],0))*(1+$B$6),2))*G285</f>
        <v>104753.25900000002</v>
      </c>
      <c r="K285" s="182">
        <f t="shared" si="27"/>
        <v>7578808.5590000004</v>
      </c>
      <c r="L285" s="182">
        <f t="shared" si="28"/>
        <v>-280390.44099999964</v>
      </c>
      <c r="M285" s="178">
        <f t="shared" si="29"/>
        <v>-3.5676719854020704E-2</v>
      </c>
      <c r="N285" s="184">
        <f t="shared" si="24"/>
        <v>-3.7999999999999545</v>
      </c>
      <c r="O285" s="185">
        <f t="shared" si="25"/>
        <v>-5.0231328486450158E-3</v>
      </c>
    </row>
    <row r="286" spans="1:15" x14ac:dyDescent="0.55000000000000004">
      <c r="A286" s="197" t="s">
        <v>279</v>
      </c>
      <c r="B286" s="176">
        <f>INDEX(Data[FY2026 Budget Enrollment],MATCH(A286,Data[Label],0))</f>
        <v>578.70000000000005</v>
      </c>
      <c r="C286" s="177">
        <f>INDEX(Data[FY2026 RPDC Total],MATCH(A286,Data[Label],0))+INDEX(Data[FY2026 RPDC Budget Guarantee],MATCH(A286,Data[Label],0))</f>
        <v>4622656</v>
      </c>
      <c r="D286" s="177">
        <f>'FY2027 Categoricals Report'!L286</f>
        <v>905455</v>
      </c>
      <c r="E286" s="177">
        <f>ROUND((INDEX(Data[FY2026 Media Services],MATCH(A286,Data[Label],0))+INDEX(Data[FY2026 Ed Services],MATCH(A286,Data[Label],0)))*B286,0)</f>
        <v>79195</v>
      </c>
      <c r="F286" s="193">
        <f t="shared" si="26"/>
        <v>5607306</v>
      </c>
      <c r="G286" s="244">
        <f>INDEX(Data[FY2027 Budget Enrollment],MATCH(A286,Data[Label],0))</f>
        <v>593.9</v>
      </c>
      <c r="H286" s="177">
        <f>'FY2027 RPDC Report'!K286</f>
        <v>4839097.2</v>
      </c>
      <c r="I286" s="177">
        <f>'FY2027 Categoricals Report'!W286</f>
        <v>980987</v>
      </c>
      <c r="J286" s="177">
        <f>(ROUND(INDEX(Data[FY2026 Media Services],MATCH(A286,Data[Label],0))*(1+$B$6),2)+ROUND(INDEX(Data[FY2026 Ed Services],MATCH(A286,Data[Label],0))*(1+$B$6),2))*G286</f>
        <v>82902.501000000004</v>
      </c>
      <c r="K286" s="177">
        <f t="shared" si="27"/>
        <v>5902986.7010000004</v>
      </c>
      <c r="L286" s="177">
        <f t="shared" si="28"/>
        <v>295680.70100000035</v>
      </c>
      <c r="M286" s="178">
        <f t="shared" si="29"/>
        <v>5.2731329626027251E-2</v>
      </c>
      <c r="N286" s="179">
        <f t="shared" si="24"/>
        <v>15.199999999999932</v>
      </c>
      <c r="O286" s="180">
        <f t="shared" si="25"/>
        <v>2.6265768100915726E-2</v>
      </c>
    </row>
    <row r="287" spans="1:15" x14ac:dyDescent="0.55000000000000004">
      <c r="A287" s="198" t="s">
        <v>280</v>
      </c>
      <c r="B287" s="181">
        <f>INDEX(Data[FY2026 Budget Enrollment],MATCH(A287,Data[Label],0))</f>
        <v>665.7</v>
      </c>
      <c r="C287" s="182">
        <f>INDEX(Data[FY2026 RPDC Total],MATCH(A287,Data[Label],0))+INDEX(Data[FY2026 RPDC Budget Guarantee],MATCH(A287,Data[Label],0))</f>
        <v>5317612</v>
      </c>
      <c r="D287" s="182">
        <f>'FY2027 Categoricals Report'!L287</f>
        <v>1070011</v>
      </c>
      <c r="E287" s="182">
        <f>ROUND((INDEX(Data[FY2026 Media Services],MATCH(A287,Data[Label],0))+INDEX(Data[FY2026 Ed Services],MATCH(A287,Data[Label],0)))*B287,0)</f>
        <v>91101</v>
      </c>
      <c r="F287" s="194">
        <f t="shared" si="26"/>
        <v>6478724</v>
      </c>
      <c r="G287" s="243">
        <f>INDEX(Data[FY2027 Budget Enrollment],MATCH(A287,Data[Label],0))</f>
        <v>666.2</v>
      </c>
      <c r="H287" s="182">
        <f>'FY2027 RPDC Report'!K287</f>
        <v>5428197.6000000006</v>
      </c>
      <c r="I287" s="182">
        <f>'FY2027 Categoricals Report'!W287</f>
        <v>1084135</v>
      </c>
      <c r="J287" s="182">
        <f>(ROUND(INDEX(Data[FY2026 Media Services],MATCH(A287,Data[Label],0))*(1+$B$6),2)+ROUND(INDEX(Data[FY2026 Ed Services],MATCH(A287,Data[Label],0))*(1+$B$6),2))*G287</f>
        <v>92994.858000000007</v>
      </c>
      <c r="K287" s="182">
        <f t="shared" si="27"/>
        <v>6605327.4580000006</v>
      </c>
      <c r="L287" s="182">
        <f t="shared" si="28"/>
        <v>126603.45800000057</v>
      </c>
      <c r="M287" s="178">
        <f t="shared" si="29"/>
        <v>1.9541418649721854E-2</v>
      </c>
      <c r="N287" s="184">
        <f t="shared" si="24"/>
        <v>0.5</v>
      </c>
      <c r="O287" s="185">
        <f t="shared" si="25"/>
        <v>7.5108907916478891E-4</v>
      </c>
    </row>
    <row r="288" spans="1:15" x14ac:dyDescent="0.55000000000000004">
      <c r="A288" s="197" t="s">
        <v>281</v>
      </c>
      <c r="B288" s="176">
        <f>INDEX(Data[FY2026 Budget Enrollment],MATCH(A288,Data[Label],0))</f>
        <v>239.8</v>
      </c>
      <c r="C288" s="177">
        <f>INDEX(Data[FY2026 RPDC Total],MATCH(A288,Data[Label],0))+INDEX(Data[FY2026 RPDC Budget Guarantee],MATCH(A288,Data[Label],0))</f>
        <v>2029814</v>
      </c>
      <c r="D288" s="177">
        <f>'FY2027 Categoricals Report'!L288</f>
        <v>484963</v>
      </c>
      <c r="E288" s="177">
        <f>ROUND((INDEX(Data[FY2026 Media Services],MATCH(A288,Data[Label],0))+INDEX(Data[FY2026 Ed Services],MATCH(A288,Data[Label],0)))*B288,0)</f>
        <v>32706</v>
      </c>
      <c r="F288" s="193">
        <f t="shared" si="26"/>
        <v>2547483</v>
      </c>
      <c r="G288" s="244">
        <f>INDEX(Data[FY2027 Budget Enrollment],MATCH(A288,Data[Label],0))</f>
        <v>226.3</v>
      </c>
      <c r="H288" s="177">
        <f>'FY2027 RPDC Report'!K288</f>
        <v>1934677.4000000001</v>
      </c>
      <c r="I288" s="177">
        <f>'FY2027 Categoricals Report'!W288</f>
        <v>478937</v>
      </c>
      <c r="J288" s="177">
        <f>(ROUND(INDEX(Data[FY2026 Media Services],MATCH(A288,Data[Label],0))*(1+$B$6),2)+ROUND(INDEX(Data[FY2026 Ed Services],MATCH(A288,Data[Label],0))*(1+$B$6),2))*G288</f>
        <v>31482.856000000003</v>
      </c>
      <c r="K288" s="177">
        <f t="shared" si="27"/>
        <v>2445097.2560000001</v>
      </c>
      <c r="L288" s="177">
        <f t="shared" si="28"/>
        <v>-102385.74399999995</v>
      </c>
      <c r="M288" s="178">
        <f t="shared" si="29"/>
        <v>-4.0190942981758834E-2</v>
      </c>
      <c r="N288" s="179">
        <f t="shared" si="24"/>
        <v>-13.5</v>
      </c>
      <c r="O288" s="180">
        <f t="shared" si="25"/>
        <v>-5.6296914095079233E-2</v>
      </c>
    </row>
    <row r="289" spans="1:15" x14ac:dyDescent="0.55000000000000004">
      <c r="A289" s="198" t="s">
        <v>282</v>
      </c>
      <c r="B289" s="181">
        <f>INDEX(Data[FY2026 Budget Enrollment],MATCH(A289,Data[Label],0))</f>
        <v>383</v>
      </c>
      <c r="C289" s="182">
        <f>INDEX(Data[FY2026 RPDC Total],MATCH(A289,Data[Label],0))+INDEX(Data[FY2026 RPDC Budget Guarantee],MATCH(A289,Data[Label],0))</f>
        <v>3059404</v>
      </c>
      <c r="D289" s="182">
        <f>'FY2027 Categoricals Report'!L289</f>
        <v>681069</v>
      </c>
      <c r="E289" s="182">
        <f>ROUND((INDEX(Data[FY2026 Media Services],MATCH(A289,Data[Label],0))+INDEX(Data[FY2026 Ed Services],MATCH(A289,Data[Label],0)))*B289,0)</f>
        <v>52881</v>
      </c>
      <c r="F289" s="194">
        <f t="shared" si="26"/>
        <v>3793354</v>
      </c>
      <c r="G289" s="243">
        <f>INDEX(Data[FY2027 Budget Enrollment],MATCH(A289,Data[Label],0))</f>
        <v>372.3</v>
      </c>
      <c r="H289" s="182">
        <f>'FY2027 RPDC Report'!K289</f>
        <v>3089998.4</v>
      </c>
      <c r="I289" s="182">
        <f>'FY2027 Categoricals Report'!W289</f>
        <v>681069</v>
      </c>
      <c r="J289" s="182">
        <f>(ROUND(INDEX(Data[FY2026 Media Services],MATCH(A289,Data[Label],0))*(1+$B$6),2)+ROUND(INDEX(Data[FY2026 Ed Services],MATCH(A289,Data[Label],0))*(1+$B$6),2))*G289</f>
        <v>52434.731999999989</v>
      </c>
      <c r="K289" s="182">
        <f t="shared" si="27"/>
        <v>3823502.1319999998</v>
      </c>
      <c r="L289" s="182">
        <f t="shared" si="28"/>
        <v>30148.13199999975</v>
      </c>
      <c r="M289" s="178">
        <f t="shared" si="29"/>
        <v>7.947618914554179E-3</v>
      </c>
      <c r="N289" s="184">
        <f t="shared" si="24"/>
        <v>-10.699999999999989</v>
      </c>
      <c r="O289" s="185">
        <f t="shared" si="25"/>
        <v>-2.7937336814621381E-2</v>
      </c>
    </row>
    <row r="290" spans="1:15" x14ac:dyDescent="0.55000000000000004">
      <c r="A290" s="197" t="s">
        <v>283</v>
      </c>
      <c r="B290" s="176">
        <f>INDEX(Data[FY2026 Budget Enrollment],MATCH(A290,Data[Label],0))</f>
        <v>356.9</v>
      </c>
      <c r="C290" s="177">
        <f>INDEX(Data[FY2026 RPDC Total],MATCH(A290,Data[Label],0))+INDEX(Data[FY2026 RPDC Budget Guarantee],MATCH(A290,Data[Label],0))</f>
        <v>2896244</v>
      </c>
      <c r="D290" s="177">
        <f>'FY2027 Categoricals Report'!L290</f>
        <v>662219</v>
      </c>
      <c r="E290" s="177">
        <f>ROUND((INDEX(Data[FY2026 Media Services],MATCH(A290,Data[Label],0))+INDEX(Data[FY2026 Ed Services],MATCH(A290,Data[Label],0)))*B290,0)</f>
        <v>49234</v>
      </c>
      <c r="F290" s="193">
        <f t="shared" si="26"/>
        <v>3607697</v>
      </c>
      <c r="G290" s="244">
        <f>INDEX(Data[FY2027 Budget Enrollment],MATCH(A290,Data[Label],0))</f>
        <v>365.1</v>
      </c>
      <c r="H290" s="177">
        <f>'FY2027 RPDC Report'!K290</f>
        <v>3021202.5</v>
      </c>
      <c r="I290" s="177">
        <f>'FY2027 Categoricals Report'!W290</f>
        <v>700932</v>
      </c>
      <c r="J290" s="177">
        <f>(ROUND(INDEX(Data[FY2026 Media Services],MATCH(A290,Data[Label],0))*(1+$B$6),2)+ROUND(INDEX(Data[FY2026 Ed Services],MATCH(A290,Data[Label],0))*(1+$B$6),2))*G290</f>
        <v>51373.220999999998</v>
      </c>
      <c r="K290" s="177">
        <f t="shared" si="27"/>
        <v>3773507.7209999999</v>
      </c>
      <c r="L290" s="177">
        <f t="shared" si="28"/>
        <v>165810.7209999999</v>
      </c>
      <c r="M290" s="178">
        <f t="shared" si="29"/>
        <v>4.5960268004768663E-2</v>
      </c>
      <c r="N290" s="179">
        <f t="shared" si="24"/>
        <v>8.2000000000000455</v>
      </c>
      <c r="O290" s="180">
        <f t="shared" si="25"/>
        <v>2.29756234239284E-2</v>
      </c>
    </row>
    <row r="291" spans="1:15" x14ac:dyDescent="0.55000000000000004">
      <c r="A291" s="198" t="s">
        <v>284</v>
      </c>
      <c r="B291" s="181">
        <f>INDEX(Data[FY2026 Budget Enrollment],MATCH(A291,Data[Label],0))</f>
        <v>291.8</v>
      </c>
      <c r="C291" s="182">
        <f>INDEX(Data[FY2026 RPDC Total],MATCH(A291,Data[Label],0))+INDEX(Data[FY2026 RPDC Budget Guarantee],MATCH(A291,Data[Label],0))</f>
        <v>2488278</v>
      </c>
      <c r="D291" s="182">
        <f>'FY2027 Categoricals Report'!L291</f>
        <v>623693</v>
      </c>
      <c r="E291" s="182">
        <f>ROUND((INDEX(Data[FY2026 Media Services],MATCH(A291,Data[Label],0))+INDEX(Data[FY2026 Ed Services],MATCH(A291,Data[Label],0)))*B291,0)</f>
        <v>39726</v>
      </c>
      <c r="F291" s="194">
        <f t="shared" si="26"/>
        <v>3151697</v>
      </c>
      <c r="G291" s="243">
        <f>INDEX(Data[FY2027 Budget Enrollment],MATCH(A291,Data[Label],0))</f>
        <v>273.8</v>
      </c>
      <c r="H291" s="182">
        <f>'FY2027 RPDC Report'!K291</f>
        <v>2357154.4</v>
      </c>
      <c r="I291" s="182">
        <f>'FY2027 Categoricals Report'!W291</f>
        <v>616941</v>
      </c>
      <c r="J291" s="182">
        <f>(ROUND(INDEX(Data[FY2026 Media Services],MATCH(A291,Data[Label],0))*(1+$B$6),2)+ROUND(INDEX(Data[FY2026 Ed Services],MATCH(A291,Data[Label],0))*(1+$B$6),2))*G291</f>
        <v>38022.606</v>
      </c>
      <c r="K291" s="182">
        <f t="shared" si="27"/>
        <v>3012118.0060000001</v>
      </c>
      <c r="L291" s="182">
        <f t="shared" si="28"/>
        <v>-139578.99399999995</v>
      </c>
      <c r="M291" s="178">
        <f t="shared" si="29"/>
        <v>-4.428693303956565E-2</v>
      </c>
      <c r="N291" s="184">
        <f t="shared" si="24"/>
        <v>-18</v>
      </c>
      <c r="O291" s="185">
        <f t="shared" si="25"/>
        <v>-6.1686086360520899E-2</v>
      </c>
    </row>
    <row r="292" spans="1:15" x14ac:dyDescent="0.55000000000000004">
      <c r="A292" s="197" t="s">
        <v>285</v>
      </c>
      <c r="B292" s="176">
        <f>INDEX(Data[FY2026 Budget Enrollment],MATCH(A292,Data[Label],0))</f>
        <v>162</v>
      </c>
      <c r="C292" s="177">
        <f>INDEX(Data[FY2026 RPDC Total],MATCH(A292,Data[Label],0))+INDEX(Data[FY2026 RPDC Budget Guarantee],MATCH(A292,Data[Label],0))</f>
        <v>1315926</v>
      </c>
      <c r="D292" s="177">
        <f>'FY2027 Categoricals Report'!L292</f>
        <v>322508</v>
      </c>
      <c r="E292" s="177">
        <f>ROUND((INDEX(Data[FY2026 Media Services],MATCH(A292,Data[Label],0))+INDEX(Data[FY2026 Ed Services],MATCH(A292,Data[Label],0)))*B292,0)</f>
        <v>22437</v>
      </c>
      <c r="F292" s="193">
        <f t="shared" si="26"/>
        <v>1660871</v>
      </c>
      <c r="G292" s="244">
        <f>INDEX(Data[FY2027 Budget Enrollment],MATCH(A292,Data[Label],0))</f>
        <v>152</v>
      </c>
      <c r="H292" s="177">
        <f>'FY2027 RPDC Report'!K292</f>
        <v>1329085</v>
      </c>
      <c r="I292" s="177">
        <f>'FY2027 Categoricals Report'!W292</f>
        <v>322508</v>
      </c>
      <c r="J292" s="177">
        <f>(ROUND(INDEX(Data[FY2026 Media Services],MATCH(A292,Data[Label],0))*(1+$B$6),2)+ROUND(INDEX(Data[FY2026 Ed Services],MATCH(A292,Data[Label],0))*(1+$B$6),2))*G292</f>
        <v>21473.040000000001</v>
      </c>
      <c r="K292" s="177">
        <f t="shared" si="27"/>
        <v>1673066.04</v>
      </c>
      <c r="L292" s="177">
        <f t="shared" si="28"/>
        <v>12195.040000000037</v>
      </c>
      <c r="M292" s="178">
        <f t="shared" si="29"/>
        <v>7.3425570077387328E-3</v>
      </c>
      <c r="N292" s="179">
        <f t="shared" si="24"/>
        <v>-10</v>
      </c>
      <c r="O292" s="180">
        <f t="shared" si="25"/>
        <v>-6.1728395061728392E-2</v>
      </c>
    </row>
    <row r="293" spans="1:15" x14ac:dyDescent="0.55000000000000004">
      <c r="A293" s="198" t="s">
        <v>286</v>
      </c>
      <c r="B293" s="181">
        <f>INDEX(Data[FY2026 Budget Enrollment],MATCH(A293,Data[Label],0))</f>
        <v>725.2</v>
      </c>
      <c r="C293" s="182">
        <f>INDEX(Data[FY2026 RPDC Total],MATCH(A293,Data[Label],0))+INDEX(Data[FY2026 RPDC Budget Guarantee],MATCH(A293,Data[Label],0))</f>
        <v>5804098</v>
      </c>
      <c r="D293" s="182">
        <f>'FY2027 Categoricals Report'!L293</f>
        <v>1123790</v>
      </c>
      <c r="E293" s="182">
        <f>ROUND((INDEX(Data[FY2026 Media Services],MATCH(A293,Data[Label],0))+INDEX(Data[FY2026 Ed Services],MATCH(A293,Data[Label],0)))*B293,0)</f>
        <v>99244</v>
      </c>
      <c r="F293" s="194">
        <f t="shared" si="26"/>
        <v>7027132</v>
      </c>
      <c r="G293" s="243">
        <f>INDEX(Data[FY2027 Budget Enrollment],MATCH(A293,Data[Label],0))</f>
        <v>706.5</v>
      </c>
      <c r="H293" s="182">
        <f>'FY2027 RPDC Report'!K293</f>
        <v>5850827</v>
      </c>
      <c r="I293" s="182">
        <f>'FY2027 Categoricals Report'!W293</f>
        <v>1125237</v>
      </c>
      <c r="J293" s="182">
        <f>(ROUND(INDEX(Data[FY2026 Media Services],MATCH(A293,Data[Label],0))*(1+$B$6),2)+ROUND(INDEX(Data[FY2026 Ed Services],MATCH(A293,Data[Label],0))*(1+$B$6),2))*G293</f>
        <v>98620.335000000006</v>
      </c>
      <c r="K293" s="182">
        <f t="shared" si="27"/>
        <v>7074684.335</v>
      </c>
      <c r="L293" s="182">
        <f t="shared" si="28"/>
        <v>47552.334999999963</v>
      </c>
      <c r="M293" s="178">
        <f t="shared" si="29"/>
        <v>6.766961969691186E-3</v>
      </c>
      <c r="N293" s="184">
        <f t="shared" si="24"/>
        <v>-18.700000000000045</v>
      </c>
      <c r="O293" s="185">
        <f t="shared" si="25"/>
        <v>-2.5785990071704418E-2</v>
      </c>
    </row>
    <row r="294" spans="1:15" x14ac:dyDescent="0.55000000000000004">
      <c r="A294" s="197" t="s">
        <v>287</v>
      </c>
      <c r="B294" s="176">
        <f>INDEX(Data[FY2026 Budget Enrollment],MATCH(A294,Data[Label],0))</f>
        <v>908.9</v>
      </c>
      <c r="C294" s="177">
        <f>INDEX(Data[FY2026 RPDC Total],MATCH(A294,Data[Label],0))+INDEX(Data[FY2026 RPDC Budget Guarantee],MATCH(A294,Data[Label],0))</f>
        <v>7512794</v>
      </c>
      <c r="D294" s="177">
        <f>'FY2027 Categoricals Report'!L294</f>
        <v>1453133</v>
      </c>
      <c r="E294" s="177">
        <f>ROUND((INDEX(Data[FY2026 Media Services],MATCH(A294,Data[Label],0))+INDEX(Data[FY2026 Ed Services],MATCH(A294,Data[Label],0)))*B294,0)</f>
        <v>125492</v>
      </c>
      <c r="F294" s="193">
        <f t="shared" si="26"/>
        <v>9091419</v>
      </c>
      <c r="G294" s="244">
        <f>INDEX(Data[FY2027 Budget Enrollment],MATCH(A294,Data[Label],0))</f>
        <v>915</v>
      </c>
      <c r="H294" s="177">
        <f>'FY2027 RPDC Report'!K294</f>
        <v>7493850</v>
      </c>
      <c r="I294" s="177">
        <f>'FY2027 Categoricals Report'!W294</f>
        <v>1503471</v>
      </c>
      <c r="J294" s="177">
        <f>(ROUND(INDEX(Data[FY2026 Media Services],MATCH(A294,Data[Label],0))*(1+$B$6),2)+ROUND(INDEX(Data[FY2026 Ed Services],MATCH(A294,Data[Label],0))*(1+$B$6),2))*G294</f>
        <v>128868.59999999998</v>
      </c>
      <c r="K294" s="177">
        <f t="shared" si="27"/>
        <v>9126189.5999999996</v>
      </c>
      <c r="L294" s="177">
        <f t="shared" si="28"/>
        <v>34770.599999999627</v>
      </c>
      <c r="M294" s="178">
        <f t="shared" si="29"/>
        <v>3.8245514809073949E-3</v>
      </c>
      <c r="N294" s="179">
        <f t="shared" si="24"/>
        <v>6.1000000000000227</v>
      </c>
      <c r="O294" s="180">
        <f t="shared" si="25"/>
        <v>6.7114093959731794E-3</v>
      </c>
    </row>
    <row r="295" spans="1:15" x14ac:dyDescent="0.55000000000000004">
      <c r="A295" s="198" t="s">
        <v>288</v>
      </c>
      <c r="B295" s="181">
        <f>INDEX(Data[FY2026 Budget Enrollment],MATCH(A295,Data[Label],0))</f>
        <v>364.7</v>
      </c>
      <c r="C295" s="182">
        <f>INDEX(Data[FY2026 RPDC Total],MATCH(A295,Data[Label],0))+INDEX(Data[FY2026 RPDC Budget Guarantee],MATCH(A295,Data[Label],0))</f>
        <v>2913224</v>
      </c>
      <c r="D295" s="182">
        <f>'FY2027 Categoricals Report'!L295</f>
        <v>736533</v>
      </c>
      <c r="E295" s="182">
        <f>ROUND((INDEX(Data[FY2026 Media Services],MATCH(A295,Data[Label],0))+INDEX(Data[FY2026 Ed Services],MATCH(A295,Data[Label],0)))*B295,0)</f>
        <v>49650</v>
      </c>
      <c r="F295" s="194">
        <f t="shared" si="26"/>
        <v>3699407</v>
      </c>
      <c r="G295" s="243">
        <f>INDEX(Data[FY2027 Budget Enrollment],MATCH(A295,Data[Label],0))</f>
        <v>314.2</v>
      </c>
      <c r="H295" s="182">
        <f>'FY2027 RPDC Report'!K295</f>
        <v>2942356.6</v>
      </c>
      <c r="I295" s="182">
        <f>'FY2027 Categoricals Report'!W295</f>
        <v>736533</v>
      </c>
      <c r="J295" s="182">
        <f>(ROUND(INDEX(Data[FY2026 Media Services],MATCH(A295,Data[Label],0))*(1+$B$6),2)+ROUND(INDEX(Data[FY2026 Ed Services],MATCH(A295,Data[Label],0))*(1+$B$6),2))*G295</f>
        <v>43632.953999999998</v>
      </c>
      <c r="K295" s="182">
        <f t="shared" si="27"/>
        <v>3722522.554</v>
      </c>
      <c r="L295" s="182">
        <f t="shared" si="28"/>
        <v>23115.554000000004</v>
      </c>
      <c r="M295" s="178">
        <f t="shared" si="29"/>
        <v>6.248448467551692E-3</v>
      </c>
      <c r="N295" s="184">
        <f t="shared" si="24"/>
        <v>-50.5</v>
      </c>
      <c r="O295" s="185">
        <f t="shared" si="25"/>
        <v>-0.13846997532218261</v>
      </c>
    </row>
    <row r="296" spans="1:15" x14ac:dyDescent="0.55000000000000004">
      <c r="A296" s="197" t="s">
        <v>289</v>
      </c>
      <c r="B296" s="176">
        <f>INDEX(Data[FY2026 Budget Enrollment],MATCH(A296,Data[Label],0))</f>
        <v>3457.3</v>
      </c>
      <c r="C296" s="177">
        <f>INDEX(Data[FY2026 RPDC Total],MATCH(A296,Data[Label],0))+INDEX(Data[FY2026 RPDC Budget Guarantee],MATCH(A296,Data[Label],0))</f>
        <v>27616912</v>
      </c>
      <c r="D296" s="177">
        <f>'FY2027 Categoricals Report'!L296</f>
        <v>4830778</v>
      </c>
      <c r="E296" s="177">
        <f>ROUND((INDEX(Data[FY2026 Media Services],MATCH(A296,Data[Label],0))+INDEX(Data[FY2026 Ed Services],MATCH(A296,Data[Label],0)))*B296,0)</f>
        <v>470677</v>
      </c>
      <c r="F296" s="193">
        <f t="shared" si="26"/>
        <v>32918367</v>
      </c>
      <c r="G296" s="244">
        <f>INDEX(Data[FY2027 Budget Enrollment],MATCH(A296,Data[Label],0))</f>
        <v>3339.6</v>
      </c>
      <c r="H296" s="177">
        <f>'FY2027 RPDC Report'!K296</f>
        <v>27893080.800000001</v>
      </c>
      <c r="I296" s="177">
        <f>'FY2027 Categoricals Report'!W296</f>
        <v>5051205</v>
      </c>
      <c r="J296" s="177">
        <f>(ROUND(INDEX(Data[FY2026 Media Services],MATCH(A296,Data[Label],0))*(1+$B$6),2)+ROUND(INDEX(Data[FY2026 Ed Services],MATCH(A296,Data[Label],0))*(1+$B$6),2))*G296</f>
        <v>463770.25199999998</v>
      </c>
      <c r="K296" s="177">
        <f t="shared" si="27"/>
        <v>33408056.052000001</v>
      </c>
      <c r="L296" s="177">
        <f t="shared" si="28"/>
        <v>489689.05200000107</v>
      </c>
      <c r="M296" s="178">
        <f t="shared" si="29"/>
        <v>1.4875861004891314E-2</v>
      </c>
      <c r="N296" s="179">
        <f t="shared" si="24"/>
        <v>-117.70000000000027</v>
      </c>
      <c r="O296" s="180">
        <f t="shared" si="25"/>
        <v>-3.4043907095132116E-2</v>
      </c>
    </row>
    <row r="297" spans="1:15" x14ac:dyDescent="0.55000000000000004">
      <c r="A297" s="198" t="s">
        <v>290</v>
      </c>
      <c r="B297" s="181">
        <f>INDEX(Data[FY2026 Budget Enrollment],MATCH(A297,Data[Label],0))</f>
        <v>952.3</v>
      </c>
      <c r="C297" s="182">
        <f>INDEX(Data[FY2026 RPDC Total],MATCH(A297,Data[Label],0))+INDEX(Data[FY2026 RPDC Budget Guarantee],MATCH(A297,Data[Label],0))</f>
        <v>7606972</v>
      </c>
      <c r="D297" s="182">
        <f>'FY2027 Categoricals Report'!L297</f>
        <v>1486055</v>
      </c>
      <c r="E297" s="182">
        <f>ROUND((INDEX(Data[FY2026 Media Services],MATCH(A297,Data[Label],0))+INDEX(Data[FY2026 Ed Services],MATCH(A297,Data[Label],0)))*B297,0)</f>
        <v>129884</v>
      </c>
      <c r="F297" s="194">
        <f t="shared" si="26"/>
        <v>9222911</v>
      </c>
      <c r="G297" s="243">
        <f>INDEX(Data[FY2027 Budget Enrollment],MATCH(A297,Data[Label],0))</f>
        <v>945.3</v>
      </c>
      <c r="H297" s="182">
        <f>'FY2027 RPDC Report'!K297</f>
        <v>7702304.3999999994</v>
      </c>
      <c r="I297" s="182">
        <f>'FY2027 Categoricals Report'!W297</f>
        <v>1493995</v>
      </c>
      <c r="J297" s="182">
        <f>(ROUND(INDEX(Data[FY2026 Media Services],MATCH(A297,Data[Label],0))*(1+$B$6),2)+ROUND(INDEX(Data[FY2026 Ed Services],MATCH(A297,Data[Label],0))*(1+$B$6),2))*G297</f>
        <v>131510.136</v>
      </c>
      <c r="K297" s="182">
        <f t="shared" si="27"/>
        <v>9327809.5359999985</v>
      </c>
      <c r="L297" s="182">
        <f t="shared" si="28"/>
        <v>104898.53599999845</v>
      </c>
      <c r="M297" s="178">
        <f t="shared" si="29"/>
        <v>1.1373690584241619E-2</v>
      </c>
      <c r="N297" s="184">
        <f t="shared" si="24"/>
        <v>-7</v>
      </c>
      <c r="O297" s="185">
        <f t="shared" si="25"/>
        <v>-7.3506248031082648E-3</v>
      </c>
    </row>
    <row r="298" spans="1:15" x14ac:dyDescent="0.55000000000000004">
      <c r="A298" s="197" t="s">
        <v>291</v>
      </c>
      <c r="B298" s="176">
        <f>INDEX(Data[FY2026 Budget Enrollment],MATCH(A298,Data[Label],0))</f>
        <v>960.5</v>
      </c>
      <c r="C298" s="177">
        <f>INDEX(Data[FY2026 RPDC Total],MATCH(A298,Data[Label],0))+INDEX(Data[FY2026 RPDC Budget Guarantee],MATCH(A298,Data[Label],0))</f>
        <v>7672474</v>
      </c>
      <c r="D298" s="177">
        <f>'FY2027 Categoricals Report'!L298</f>
        <v>1319658</v>
      </c>
      <c r="E298" s="177">
        <f>ROUND((INDEX(Data[FY2026 Media Services],MATCH(A298,Data[Label],0))+INDEX(Data[FY2026 Ed Services],MATCH(A298,Data[Label],0)))*B298,0)</f>
        <v>130762</v>
      </c>
      <c r="F298" s="193">
        <f t="shared" si="26"/>
        <v>9122894</v>
      </c>
      <c r="G298" s="244">
        <f>INDEX(Data[FY2027 Budget Enrollment],MATCH(A298,Data[Label],0))</f>
        <v>983.8</v>
      </c>
      <c r="H298" s="177">
        <f>'FY2027 RPDC Report'!K298</f>
        <v>8016002.3999999994</v>
      </c>
      <c r="I298" s="177">
        <f>'FY2027 Categoricals Report'!W298</f>
        <v>1439657</v>
      </c>
      <c r="J298" s="177">
        <f>(ROUND(INDEX(Data[FY2026 Media Services],MATCH(A298,Data[Label],0))*(1+$B$6),2)+ROUND(INDEX(Data[FY2026 Ed Services],MATCH(A298,Data[Label],0))*(1+$B$6),2))*G298</f>
        <v>136620.30600000001</v>
      </c>
      <c r="K298" s="177">
        <f t="shared" si="27"/>
        <v>9592279.7060000002</v>
      </c>
      <c r="L298" s="177">
        <f t="shared" si="28"/>
        <v>469385.70600000024</v>
      </c>
      <c r="M298" s="178">
        <f t="shared" si="29"/>
        <v>5.1451404126804524E-2</v>
      </c>
      <c r="N298" s="179">
        <f t="shared" si="24"/>
        <v>23.299999999999955</v>
      </c>
      <c r="O298" s="180">
        <f t="shared" si="25"/>
        <v>2.4258198854763095E-2</v>
      </c>
    </row>
    <row r="299" spans="1:15" x14ac:dyDescent="0.55000000000000004">
      <c r="A299" s="198" t="s">
        <v>292</v>
      </c>
      <c r="B299" s="181">
        <f>INDEX(Data[FY2026 Budget Enrollment],MATCH(A299,Data[Label],0))</f>
        <v>272</v>
      </c>
      <c r="C299" s="182">
        <f>INDEX(Data[FY2026 RPDC Total],MATCH(A299,Data[Label],0))+INDEX(Data[FY2026 RPDC Budget Guarantee],MATCH(A299,Data[Label],0))</f>
        <v>2229001</v>
      </c>
      <c r="D299" s="182">
        <f>'FY2027 Categoricals Report'!L299</f>
        <v>505673</v>
      </c>
      <c r="E299" s="182">
        <f>ROUND((INDEX(Data[FY2026 Media Services],MATCH(A299,Data[Label],0))+INDEX(Data[FY2026 Ed Services],MATCH(A299,Data[Label],0)))*B299,0)</f>
        <v>37223</v>
      </c>
      <c r="F299" s="194">
        <f t="shared" si="26"/>
        <v>2771897</v>
      </c>
      <c r="G299" s="243">
        <f>INDEX(Data[FY2027 Budget Enrollment],MATCH(A299,Data[Label],0))</f>
        <v>278</v>
      </c>
      <c r="H299" s="182">
        <f>'FY2027 RPDC Report'!K299</f>
        <v>2265144</v>
      </c>
      <c r="I299" s="182">
        <f>'FY2027 Categoricals Report'!W299</f>
        <v>521184</v>
      </c>
      <c r="J299" s="182">
        <f>(ROUND(INDEX(Data[FY2026 Media Services],MATCH(A299,Data[Label],0))*(1+$B$6),2)+ROUND(INDEX(Data[FY2026 Ed Services],MATCH(A299,Data[Label],0))*(1+$B$6),2))*G299</f>
        <v>38806.020000000004</v>
      </c>
      <c r="K299" s="182">
        <f t="shared" si="27"/>
        <v>2825134.02</v>
      </c>
      <c r="L299" s="182">
        <f t="shared" si="28"/>
        <v>53237.020000000019</v>
      </c>
      <c r="M299" s="178">
        <f t="shared" si="29"/>
        <v>1.920598781267847E-2</v>
      </c>
      <c r="N299" s="184">
        <f t="shared" si="24"/>
        <v>6</v>
      </c>
      <c r="O299" s="185">
        <f t="shared" si="25"/>
        <v>2.2058823529411766E-2</v>
      </c>
    </row>
    <row r="300" spans="1:15" x14ac:dyDescent="0.55000000000000004">
      <c r="A300" s="197" t="s">
        <v>293</v>
      </c>
      <c r="B300" s="176">
        <f>INDEX(Data[FY2026 Budget Enrollment],MATCH(A300,Data[Label],0))</f>
        <v>1625</v>
      </c>
      <c r="C300" s="177">
        <f>INDEX(Data[FY2026 RPDC Total],MATCH(A300,Data[Label],0))+INDEX(Data[FY2026 RPDC Budget Guarantee],MATCH(A300,Data[Label],0))</f>
        <v>12980500</v>
      </c>
      <c r="D300" s="177">
        <f>'FY2027 Categoricals Report'!L300</f>
        <v>2325235</v>
      </c>
      <c r="E300" s="177">
        <f>ROUND((INDEX(Data[FY2026 Media Services],MATCH(A300,Data[Label],0))+INDEX(Data[FY2026 Ed Services],MATCH(A300,Data[Label],0)))*B300,0)</f>
        <v>221715</v>
      </c>
      <c r="F300" s="193">
        <f t="shared" si="26"/>
        <v>15527450</v>
      </c>
      <c r="G300" s="244">
        <f>INDEX(Data[FY2027 Budget Enrollment],MATCH(A300,Data[Label],0))</f>
        <v>1600.6</v>
      </c>
      <c r="H300" s="177">
        <f>'FY2027 RPDC Report'!K300</f>
        <v>13110304.799999999</v>
      </c>
      <c r="I300" s="177">
        <f>'FY2027 Categoricals Report'!W300</f>
        <v>2341639</v>
      </c>
      <c r="J300" s="177">
        <f>(ROUND(INDEX(Data[FY2026 Media Services],MATCH(A300,Data[Label],0))*(1+$B$6),2)+ROUND(INDEX(Data[FY2026 Ed Services],MATCH(A300,Data[Label],0))*(1+$B$6),2))*G300</f>
        <v>222755.50200000001</v>
      </c>
      <c r="K300" s="177">
        <f t="shared" si="27"/>
        <v>15674699.301999999</v>
      </c>
      <c r="L300" s="177">
        <f t="shared" si="28"/>
        <v>147249.30199999921</v>
      </c>
      <c r="M300" s="178">
        <f t="shared" si="29"/>
        <v>9.4831605962343597E-3</v>
      </c>
      <c r="N300" s="179">
        <f t="shared" si="24"/>
        <v>-24.400000000000091</v>
      </c>
      <c r="O300" s="180">
        <f t="shared" si="25"/>
        <v>-1.5015384615384672E-2</v>
      </c>
    </row>
    <row r="301" spans="1:15" x14ac:dyDescent="0.55000000000000004">
      <c r="A301" s="198" t="s">
        <v>294</v>
      </c>
      <c r="B301" s="181">
        <f>INDEX(Data[FY2026 Budget Enrollment],MATCH(A301,Data[Label],0))</f>
        <v>482.9</v>
      </c>
      <c r="C301" s="182">
        <f>INDEX(Data[FY2026 RPDC Total],MATCH(A301,Data[Label],0))+INDEX(Data[FY2026 RPDC Budget Guarantee],MATCH(A301,Data[Label],0))</f>
        <v>3897969</v>
      </c>
      <c r="D301" s="182">
        <f>'FY2027 Categoricals Report'!L301</f>
        <v>1094231</v>
      </c>
      <c r="E301" s="182">
        <f>ROUND((INDEX(Data[FY2026 Media Services],MATCH(A301,Data[Label],0))+INDEX(Data[FY2026 Ed Services],MATCH(A301,Data[Label],0)))*B301,0)</f>
        <v>65863</v>
      </c>
      <c r="F301" s="194">
        <f t="shared" si="26"/>
        <v>5058063</v>
      </c>
      <c r="G301" s="243">
        <f>INDEX(Data[FY2027 Budget Enrollment],MATCH(A301,Data[Label],0))</f>
        <v>481.6</v>
      </c>
      <c r="H301" s="182">
        <f>'FY2027 RPDC Report'!K301</f>
        <v>3964531.2</v>
      </c>
      <c r="I301" s="182">
        <f>'FY2027 Categoricals Report'!W301</f>
        <v>1112338</v>
      </c>
      <c r="J301" s="182">
        <f>(ROUND(INDEX(Data[FY2026 Media Services],MATCH(A301,Data[Label],0))*(1+$B$6),2)+ROUND(INDEX(Data[FY2026 Ed Services],MATCH(A301,Data[Label],0))*(1+$B$6),2))*G301</f>
        <v>67000.19200000001</v>
      </c>
      <c r="K301" s="182">
        <f t="shared" si="27"/>
        <v>5143869.392</v>
      </c>
      <c r="L301" s="182">
        <f t="shared" si="28"/>
        <v>85806.391999999993</v>
      </c>
      <c r="M301" s="178">
        <f t="shared" si="29"/>
        <v>1.6964279013527508E-2</v>
      </c>
      <c r="N301" s="184">
        <f t="shared" si="24"/>
        <v>-1.2999999999999545</v>
      </c>
      <c r="O301" s="185">
        <f t="shared" si="25"/>
        <v>-2.6920687512941698E-3</v>
      </c>
    </row>
    <row r="302" spans="1:15" x14ac:dyDescent="0.55000000000000004">
      <c r="A302" s="197" t="s">
        <v>295</v>
      </c>
      <c r="B302" s="176">
        <f>INDEX(Data[FY2026 Budget Enrollment],MATCH(A302,Data[Label],0))</f>
        <v>523.29999999999995</v>
      </c>
      <c r="C302" s="177">
        <f>INDEX(Data[FY2026 RPDC Total],MATCH(A302,Data[Label],0))+INDEX(Data[FY2026 RPDC Budget Guarantee],MATCH(A302,Data[Label],0))</f>
        <v>4180120</v>
      </c>
      <c r="D302" s="177">
        <f>'FY2027 Categoricals Report'!L302</f>
        <v>875507</v>
      </c>
      <c r="E302" s="177">
        <f>ROUND((INDEX(Data[FY2026 Media Services],MATCH(A302,Data[Label],0))+INDEX(Data[FY2026 Ed Services],MATCH(A302,Data[Label],0)))*B302,0)</f>
        <v>71373</v>
      </c>
      <c r="F302" s="193">
        <f t="shared" si="26"/>
        <v>5127000</v>
      </c>
      <c r="G302" s="244">
        <f>INDEX(Data[FY2027 Budget Enrollment],MATCH(A302,Data[Label],0))</f>
        <v>506.3</v>
      </c>
      <c r="H302" s="177">
        <f>'FY2027 RPDC Report'!K302</f>
        <v>4221921.4000000004</v>
      </c>
      <c r="I302" s="177">
        <f>'FY2027 Categoricals Report'!W302</f>
        <v>875507</v>
      </c>
      <c r="J302" s="177">
        <f>(ROUND(INDEX(Data[FY2026 Media Services],MATCH(A302,Data[Label],0))*(1+$B$6),2)+ROUND(INDEX(Data[FY2026 Ed Services],MATCH(A302,Data[Label],0))*(1+$B$6),2))*G302</f>
        <v>70436.456000000006</v>
      </c>
      <c r="K302" s="177">
        <f t="shared" si="27"/>
        <v>5167864.8560000006</v>
      </c>
      <c r="L302" s="177">
        <f t="shared" si="28"/>
        <v>40864.856000000611</v>
      </c>
      <c r="M302" s="178">
        <f t="shared" si="29"/>
        <v>7.9705199921982859E-3</v>
      </c>
      <c r="N302" s="179">
        <f t="shared" si="24"/>
        <v>-16.999999999999943</v>
      </c>
      <c r="O302" s="180">
        <f t="shared" si="25"/>
        <v>-3.2486145614370236E-2</v>
      </c>
    </row>
    <row r="303" spans="1:15" x14ac:dyDescent="0.55000000000000004">
      <c r="A303" s="198" t="s">
        <v>296</v>
      </c>
      <c r="B303" s="181">
        <f>INDEX(Data[FY2026 Budget Enrollment],MATCH(A303,Data[Label],0))</f>
        <v>586.1</v>
      </c>
      <c r="C303" s="182">
        <f>INDEX(Data[FY2026 RPDC Total],MATCH(A303,Data[Label],0))+INDEX(Data[FY2026 RPDC Budget Guarantee],MATCH(A303,Data[Label],0))</f>
        <v>5065045</v>
      </c>
      <c r="D303" s="182">
        <f>'FY2027 Categoricals Report'!L303</f>
        <v>978757</v>
      </c>
      <c r="E303" s="182">
        <f>ROUND((INDEX(Data[FY2026 Media Services],MATCH(A303,Data[Label],0))+INDEX(Data[FY2026 Ed Services],MATCH(A303,Data[Label],0)))*B303,0)</f>
        <v>80923</v>
      </c>
      <c r="F303" s="194">
        <f t="shared" si="26"/>
        <v>6124725</v>
      </c>
      <c r="G303" s="243">
        <f>INDEX(Data[FY2027 Budget Enrollment],MATCH(A303,Data[Label],0))</f>
        <v>598.1</v>
      </c>
      <c r="H303" s="182">
        <f>'FY2027 RPDC Report'!K303</f>
        <v>4876907.4000000004</v>
      </c>
      <c r="I303" s="182">
        <f>'FY2027 Categoricals Report'!W303</f>
        <v>1018534</v>
      </c>
      <c r="J303" s="182">
        <f>(ROUND(INDEX(Data[FY2026 Media Services],MATCH(A303,Data[Label],0))*(1+$B$6),2)+ROUND(INDEX(Data[FY2026 Ed Services],MATCH(A303,Data[Label],0))*(1+$B$6),2))*G303</f>
        <v>84236.403999999995</v>
      </c>
      <c r="K303" s="182">
        <f t="shared" si="27"/>
        <v>5979677.8040000005</v>
      </c>
      <c r="L303" s="182">
        <f t="shared" si="28"/>
        <v>-145047.19599999953</v>
      </c>
      <c r="M303" s="178">
        <f t="shared" si="29"/>
        <v>-2.3682238141304227E-2</v>
      </c>
      <c r="N303" s="184">
        <f t="shared" si="24"/>
        <v>12</v>
      </c>
      <c r="O303" s="185">
        <f t="shared" si="25"/>
        <v>2.047432178809077E-2</v>
      </c>
    </row>
    <row r="304" spans="1:15" x14ac:dyDescent="0.55000000000000004">
      <c r="A304" s="197" t="s">
        <v>297</v>
      </c>
      <c r="B304" s="176">
        <f>INDEX(Data[FY2026 Budget Enrollment],MATCH(A304,Data[Label],0))</f>
        <v>1610.1</v>
      </c>
      <c r="C304" s="177">
        <f>INDEX(Data[FY2026 RPDC Total],MATCH(A304,Data[Label],0))+INDEX(Data[FY2026 RPDC Budget Guarantee],MATCH(A304,Data[Label],0))</f>
        <v>13026220</v>
      </c>
      <c r="D304" s="177">
        <f>'FY2027 Categoricals Report'!L304</f>
        <v>2898487</v>
      </c>
      <c r="E304" s="177">
        <f>ROUND((INDEX(Data[FY2026 Media Services],MATCH(A304,Data[Label],0))+INDEX(Data[FY2026 Ed Services],MATCH(A304,Data[Label],0)))*B304,0)</f>
        <v>219682</v>
      </c>
      <c r="F304" s="193">
        <f t="shared" si="26"/>
        <v>16144389</v>
      </c>
      <c r="G304" s="244">
        <f>INDEX(Data[FY2027 Budget Enrollment],MATCH(A304,Data[Label],0))</f>
        <v>1577</v>
      </c>
      <c r="H304" s="177">
        <f>'FY2027 RPDC Report'!K304</f>
        <v>12990094</v>
      </c>
      <c r="I304" s="177">
        <f>'FY2027 Categoricals Report'!W304</f>
        <v>2928131</v>
      </c>
      <c r="J304" s="177">
        <f>(ROUND(INDEX(Data[FY2026 Media Services],MATCH(A304,Data[Label],0))*(1+$B$6),2)+ROUND(INDEX(Data[FY2026 Ed Services],MATCH(A304,Data[Label],0))*(1+$B$6),2))*G304</f>
        <v>219471.09000000003</v>
      </c>
      <c r="K304" s="177">
        <f t="shared" si="27"/>
        <v>16137696.09</v>
      </c>
      <c r="L304" s="177">
        <f t="shared" si="28"/>
        <v>-6692.910000000149</v>
      </c>
      <c r="M304" s="178">
        <f t="shared" si="29"/>
        <v>-4.1456570453054305E-4</v>
      </c>
      <c r="N304" s="179">
        <f t="shared" si="24"/>
        <v>-33.099999999999909</v>
      </c>
      <c r="O304" s="180">
        <f t="shared" si="25"/>
        <v>-2.0557729333581711E-2</v>
      </c>
    </row>
    <row r="305" spans="1:15" x14ac:dyDescent="0.55000000000000004">
      <c r="A305" s="198" t="s">
        <v>298</v>
      </c>
      <c r="B305" s="181">
        <f>INDEX(Data[FY2026 Budget Enrollment],MATCH(A305,Data[Label],0))</f>
        <v>10812.4</v>
      </c>
      <c r="C305" s="182">
        <f>INDEX(Data[FY2026 RPDC Total],MATCH(A305,Data[Label],0))+INDEX(Data[FY2026 RPDC Budget Guarantee],MATCH(A305,Data[Label],0))</f>
        <v>86369451</v>
      </c>
      <c r="D305" s="182">
        <f>'FY2027 Categoricals Report'!L305</f>
        <v>15078276</v>
      </c>
      <c r="E305" s="182">
        <f>ROUND((INDEX(Data[FY2026 Media Services],MATCH(A305,Data[Label],0))+INDEX(Data[FY2026 Ed Services],MATCH(A305,Data[Label],0)))*B305,0)</f>
        <v>1492868</v>
      </c>
      <c r="F305" s="194">
        <f t="shared" si="26"/>
        <v>102940595</v>
      </c>
      <c r="G305" s="243">
        <f>INDEX(Data[FY2027 Budget Enrollment],MATCH(A305,Data[Label],0))</f>
        <v>10524.2</v>
      </c>
      <c r="H305" s="182">
        <f>'FY2027 RPDC Report'!K305</f>
        <v>87233145.600000009</v>
      </c>
      <c r="I305" s="182">
        <f>'FY2027 Categoricals Report'!W305</f>
        <v>15512930</v>
      </c>
      <c r="J305" s="182">
        <f>(ROUND(INDEX(Data[FY2026 Media Services],MATCH(A305,Data[Label],0))*(1+$B$6),2)+ROUND(INDEX(Data[FY2026 Ed Services],MATCH(A305,Data[Label],0))*(1+$B$6),2))*G305</f>
        <v>1482228.3279999997</v>
      </c>
      <c r="K305" s="182">
        <f t="shared" si="27"/>
        <v>104228303.928</v>
      </c>
      <c r="L305" s="182">
        <f t="shared" si="28"/>
        <v>1287708.9280000031</v>
      </c>
      <c r="M305" s="178">
        <f t="shared" si="29"/>
        <v>1.2509243102781785E-2</v>
      </c>
      <c r="N305" s="184">
        <f t="shared" si="24"/>
        <v>-288.19999999999891</v>
      </c>
      <c r="O305" s="185">
        <f t="shared" si="25"/>
        <v>-2.6654581776478756E-2</v>
      </c>
    </row>
    <row r="306" spans="1:15" x14ac:dyDescent="0.55000000000000004">
      <c r="A306" s="197" t="s">
        <v>299</v>
      </c>
      <c r="B306" s="176">
        <f>INDEX(Data[FY2026 Budget Enrollment],MATCH(A306,Data[Label],0))</f>
        <v>14016.7</v>
      </c>
      <c r="C306" s="177">
        <f>INDEX(Data[FY2026 RPDC Total],MATCH(A306,Data[Label],0))+INDEX(Data[FY2026 RPDC Budget Guarantee],MATCH(A306,Data[Label],0))</f>
        <v>111965400</v>
      </c>
      <c r="D306" s="177">
        <f>'FY2027 Categoricals Report'!L306</f>
        <v>18152880</v>
      </c>
      <c r="E306" s="177">
        <f>ROUND((INDEX(Data[FY2026 Media Services],MATCH(A306,Data[Label],0))+INDEX(Data[FY2026 Ed Services],MATCH(A306,Data[Label],0)))*B306,0)</f>
        <v>1908234</v>
      </c>
      <c r="F306" s="193">
        <f t="shared" si="26"/>
        <v>132026514</v>
      </c>
      <c r="G306" s="244">
        <f>INDEX(Data[FY2027 Budget Enrollment],MATCH(A306,Data[Label],0))</f>
        <v>14411.6</v>
      </c>
      <c r="H306" s="177">
        <f>'FY2027 RPDC Report'!K306</f>
        <v>117425716.8</v>
      </c>
      <c r="I306" s="177">
        <f>'FY2027 Categoricals Report'!W306</f>
        <v>20186883</v>
      </c>
      <c r="J306" s="177">
        <f>(ROUND(INDEX(Data[FY2026 Media Services],MATCH(A306,Data[Label],0))*(1+$B$6),2)+ROUND(INDEX(Data[FY2026 Ed Services],MATCH(A306,Data[Label],0))*(1+$B$6),2))*G306</f>
        <v>2001338.8920000002</v>
      </c>
      <c r="K306" s="177">
        <f t="shared" si="27"/>
        <v>139613938.692</v>
      </c>
      <c r="L306" s="177">
        <f t="shared" si="28"/>
        <v>7587424.6920000017</v>
      </c>
      <c r="M306" s="178">
        <f t="shared" si="29"/>
        <v>5.746894666930312E-2</v>
      </c>
      <c r="N306" s="179">
        <f t="shared" si="24"/>
        <v>394.89999999999964</v>
      </c>
      <c r="O306" s="180">
        <f t="shared" si="25"/>
        <v>2.817353585366025E-2</v>
      </c>
    </row>
    <row r="307" spans="1:15" x14ac:dyDescent="0.55000000000000004">
      <c r="A307" s="198" t="s">
        <v>300</v>
      </c>
      <c r="B307" s="181">
        <f>INDEX(Data[FY2026 Budget Enrollment],MATCH(A307,Data[Label],0))</f>
        <v>2167.6</v>
      </c>
      <c r="C307" s="182">
        <f>INDEX(Data[FY2026 RPDC Total],MATCH(A307,Data[Label],0))+INDEX(Data[FY2026 RPDC Budget Guarantee],MATCH(A307,Data[Label],0))</f>
        <v>17314789</v>
      </c>
      <c r="D307" s="182">
        <f>'FY2027 Categoricals Report'!L307</f>
        <v>3011947</v>
      </c>
      <c r="E307" s="182">
        <f>ROUND((INDEX(Data[FY2026 Media Services],MATCH(A307,Data[Label],0))+INDEX(Data[FY2026 Ed Services],MATCH(A307,Data[Label],0)))*B307,0)</f>
        <v>299281</v>
      </c>
      <c r="F307" s="194">
        <f t="shared" si="26"/>
        <v>20626017</v>
      </c>
      <c r="G307" s="243">
        <f>INDEX(Data[FY2027 Budget Enrollment],MATCH(A307,Data[Label],0))</f>
        <v>2054.9</v>
      </c>
      <c r="H307" s="182">
        <f>'FY2027 RPDC Report'!K307</f>
        <v>17487937.200000003</v>
      </c>
      <c r="I307" s="182">
        <f>'FY2027 Categoricals Report'!W307</f>
        <v>3023553</v>
      </c>
      <c r="J307" s="182">
        <f>(ROUND(INDEX(Data[FY2026 Media Services],MATCH(A307,Data[Label],0))*(1+$B$6),2)+ROUND(INDEX(Data[FY2026 Ed Services],MATCH(A307,Data[Label],0))*(1+$B$6),2))*G307</f>
        <v>289412.11599999998</v>
      </c>
      <c r="K307" s="182">
        <f t="shared" si="27"/>
        <v>20800902.316000003</v>
      </c>
      <c r="L307" s="182">
        <f t="shared" si="28"/>
        <v>174885.31600000337</v>
      </c>
      <c r="M307" s="178">
        <f t="shared" si="29"/>
        <v>8.4788699631151935E-3</v>
      </c>
      <c r="N307" s="184">
        <f t="shared" si="24"/>
        <v>-112.69999999999982</v>
      </c>
      <c r="O307" s="185">
        <f t="shared" si="25"/>
        <v>-5.1992987636095139E-2</v>
      </c>
    </row>
    <row r="308" spans="1:15" x14ac:dyDescent="0.55000000000000004">
      <c r="A308" s="197" t="s">
        <v>301</v>
      </c>
      <c r="B308" s="176">
        <f>INDEX(Data[FY2026 Budget Enrollment],MATCH(A308,Data[Label],0))</f>
        <v>548.4</v>
      </c>
      <c r="C308" s="177">
        <f>INDEX(Data[FY2026 RPDC Total],MATCH(A308,Data[Label],0))+INDEX(Data[FY2026 RPDC Budget Guarantee],MATCH(A308,Data[Label],0))</f>
        <v>4511752</v>
      </c>
      <c r="D308" s="177">
        <f>'FY2027 Categoricals Report'!L308</f>
        <v>1073665</v>
      </c>
      <c r="E308" s="177">
        <f>ROUND((INDEX(Data[FY2026 Media Services],MATCH(A308,Data[Label],0))+INDEX(Data[FY2026 Ed Services],MATCH(A308,Data[Label],0)))*B308,0)</f>
        <v>74796</v>
      </c>
      <c r="F308" s="193">
        <f t="shared" si="26"/>
        <v>5660213</v>
      </c>
      <c r="G308" s="244">
        <f>INDEX(Data[FY2027 Budget Enrollment],MATCH(A308,Data[Label],0))</f>
        <v>577.20000000000005</v>
      </c>
      <c r="H308" s="177">
        <f>'FY2027 RPDC Report'!K308</f>
        <v>4703025.6000000006</v>
      </c>
      <c r="I308" s="177">
        <f>'FY2027 Categoricals Report'!W308</f>
        <v>1137459</v>
      </c>
      <c r="J308" s="177">
        <f>(ROUND(INDEX(Data[FY2026 Media Services],MATCH(A308,Data[Label],0))*(1+$B$6),2)+ROUND(INDEX(Data[FY2026 Ed Services],MATCH(A308,Data[Label],0))*(1+$B$6),2))*G308</f>
        <v>80300.064000000013</v>
      </c>
      <c r="K308" s="177">
        <f t="shared" si="27"/>
        <v>5920784.6640000008</v>
      </c>
      <c r="L308" s="177">
        <f t="shared" si="28"/>
        <v>260571.6640000008</v>
      </c>
      <c r="M308" s="178">
        <f t="shared" si="29"/>
        <v>4.6035664028897992E-2</v>
      </c>
      <c r="N308" s="179">
        <f t="shared" si="24"/>
        <v>28.800000000000068</v>
      </c>
      <c r="O308" s="180">
        <f t="shared" si="25"/>
        <v>5.2516411378555929E-2</v>
      </c>
    </row>
    <row r="309" spans="1:15" x14ac:dyDescent="0.55000000000000004">
      <c r="A309" s="198" t="s">
        <v>302</v>
      </c>
      <c r="B309" s="181">
        <f>INDEX(Data[FY2026 Budget Enrollment],MATCH(A309,Data[Label],0))</f>
        <v>1745.2</v>
      </c>
      <c r="C309" s="182">
        <f>INDEX(Data[FY2026 RPDC Total],MATCH(A309,Data[Label],0))+INDEX(Data[FY2026 RPDC Budget Guarantee],MATCH(A309,Data[Label],0))</f>
        <v>13940658</v>
      </c>
      <c r="D309" s="182">
        <f>'FY2027 Categoricals Report'!L309</f>
        <v>2558475</v>
      </c>
      <c r="E309" s="182">
        <f>ROUND((INDEX(Data[FY2026 Media Services],MATCH(A309,Data[Label],0))+INDEX(Data[FY2026 Ed Services],MATCH(A309,Data[Label],0)))*B309,0)</f>
        <v>241710</v>
      </c>
      <c r="F309" s="194">
        <f t="shared" si="26"/>
        <v>16740843</v>
      </c>
      <c r="G309" s="243">
        <f>INDEX(Data[FY2027 Budget Enrollment],MATCH(A309,Data[Label],0))</f>
        <v>1731.4</v>
      </c>
      <c r="H309" s="182">
        <f>'FY2027 RPDC Report'!K309</f>
        <v>14107447.200000001</v>
      </c>
      <c r="I309" s="182">
        <f>'FY2027 Categoricals Report'!W309</f>
        <v>2617814</v>
      </c>
      <c r="J309" s="182">
        <f>(ROUND(INDEX(Data[FY2026 Media Services],MATCH(A309,Data[Label],0))*(1+$B$6),2)+ROUND(INDEX(Data[FY2026 Ed Services],MATCH(A309,Data[Label],0))*(1+$B$6),2))*G309</f>
        <v>244594.87800000003</v>
      </c>
      <c r="K309" s="182">
        <f t="shared" si="27"/>
        <v>16969856.078000002</v>
      </c>
      <c r="L309" s="182">
        <f t="shared" si="28"/>
        <v>229013.07800000161</v>
      </c>
      <c r="M309" s="178">
        <f t="shared" si="29"/>
        <v>1.3679901185382457E-2</v>
      </c>
      <c r="N309" s="184">
        <f t="shared" si="24"/>
        <v>-13.799999999999955</v>
      </c>
      <c r="O309" s="185">
        <f t="shared" si="25"/>
        <v>-7.9074031629612386E-3</v>
      </c>
    </row>
    <row r="310" spans="1:15" x14ac:dyDescent="0.55000000000000004">
      <c r="A310" s="197" t="s">
        <v>303</v>
      </c>
      <c r="B310" s="176">
        <f>INDEX(Data[FY2026 Budget Enrollment],MATCH(A310,Data[Label],0))</f>
        <v>329.2</v>
      </c>
      <c r="C310" s="177">
        <f>INDEX(Data[FY2026 RPDC Total],MATCH(A310,Data[Label],0))+INDEX(Data[FY2026 RPDC Budget Guarantee],MATCH(A310,Data[Label],0))</f>
        <v>2694078</v>
      </c>
      <c r="D310" s="177">
        <f>'FY2027 Categoricals Report'!L310</f>
        <v>738906</v>
      </c>
      <c r="E310" s="177">
        <f>ROUND((INDEX(Data[FY2026 Media Services],MATCH(A310,Data[Label],0))+INDEX(Data[FY2026 Ed Services],MATCH(A310,Data[Label],0)))*B310,0)</f>
        <v>45594</v>
      </c>
      <c r="F310" s="193">
        <f t="shared" si="26"/>
        <v>3478578</v>
      </c>
      <c r="G310" s="244">
        <f>INDEX(Data[FY2027 Budget Enrollment],MATCH(A310,Data[Label],0))</f>
        <v>336.4</v>
      </c>
      <c r="H310" s="177">
        <f>'FY2027 RPDC Report'!K310</f>
        <v>2745024</v>
      </c>
      <c r="I310" s="177">
        <f>'FY2027 Categoricals Report'!W310</f>
        <v>764761</v>
      </c>
      <c r="J310" s="177">
        <f>(ROUND(INDEX(Data[FY2026 Media Services],MATCH(A310,Data[Label],0))*(1+$B$6),2)+ROUND(INDEX(Data[FY2026 Ed Services],MATCH(A310,Data[Label],0))*(1+$B$6),2))*G310</f>
        <v>47523.228000000003</v>
      </c>
      <c r="K310" s="177">
        <f t="shared" si="27"/>
        <v>3557308.2280000001</v>
      </c>
      <c r="L310" s="177">
        <f t="shared" si="28"/>
        <v>78730.228000000119</v>
      </c>
      <c r="M310" s="178">
        <f t="shared" si="29"/>
        <v>2.2632876997439794E-2</v>
      </c>
      <c r="N310" s="179">
        <f t="shared" si="24"/>
        <v>7.1999999999999886</v>
      </c>
      <c r="O310" s="180">
        <f t="shared" si="25"/>
        <v>2.1871202916160355E-2</v>
      </c>
    </row>
    <row r="311" spans="1:15" x14ac:dyDescent="0.55000000000000004">
      <c r="A311" s="198" t="s">
        <v>304</v>
      </c>
      <c r="B311" s="181">
        <f>INDEX(Data[FY2026 Budget Enrollment],MATCH(A311,Data[Label],0))</f>
        <v>795.9</v>
      </c>
      <c r="C311" s="182">
        <f>INDEX(Data[FY2026 RPDC Total],MATCH(A311,Data[Label],0))+INDEX(Data[FY2026 RPDC Budget Guarantee],MATCH(A311,Data[Label],0))</f>
        <v>6357649</v>
      </c>
      <c r="D311" s="182">
        <f>'FY2027 Categoricals Report'!L311</f>
        <v>1199121</v>
      </c>
      <c r="E311" s="182">
        <f>ROUND((INDEX(Data[FY2026 Media Services],MATCH(A311,Data[Label],0))+INDEX(Data[FY2026 Ed Services],MATCH(A311,Data[Label],0)))*B311,0)</f>
        <v>108593</v>
      </c>
      <c r="F311" s="194">
        <f t="shared" si="26"/>
        <v>7665363</v>
      </c>
      <c r="G311" s="243">
        <f>INDEX(Data[FY2027 Budget Enrollment],MATCH(A311,Data[Label],0))</f>
        <v>818.2</v>
      </c>
      <c r="H311" s="182">
        <f>'FY2027 RPDC Report'!K311</f>
        <v>6666693.6000000006</v>
      </c>
      <c r="I311" s="182">
        <f>'FY2027 Categoricals Report'!W311</f>
        <v>1245125</v>
      </c>
      <c r="J311" s="182">
        <f>(ROUND(INDEX(Data[FY2026 Media Services],MATCH(A311,Data[Label],0))*(1+$B$6),2)+ROUND(INDEX(Data[FY2026 Ed Services],MATCH(A311,Data[Label],0))*(1+$B$6),2))*G311</f>
        <v>113868.89400000001</v>
      </c>
      <c r="K311" s="182">
        <f t="shared" si="27"/>
        <v>8025687.4940000009</v>
      </c>
      <c r="L311" s="182">
        <f t="shared" si="28"/>
        <v>360324.49400000088</v>
      </c>
      <c r="M311" s="178">
        <f t="shared" si="29"/>
        <v>4.7006840250096556E-2</v>
      </c>
      <c r="N311" s="184">
        <f t="shared" si="24"/>
        <v>22.300000000000068</v>
      </c>
      <c r="O311" s="185">
        <f t="shared" si="25"/>
        <v>2.8018595300917288E-2</v>
      </c>
    </row>
    <row r="312" spans="1:15" x14ac:dyDescent="0.55000000000000004">
      <c r="A312" s="197" t="s">
        <v>305</v>
      </c>
      <c r="B312" s="176">
        <f>INDEX(Data[FY2026 Budget Enrollment],MATCH(A312,Data[Label],0))</f>
        <v>386</v>
      </c>
      <c r="C312" s="177">
        <f>INDEX(Data[FY2026 RPDC Total],MATCH(A312,Data[Label],0))+INDEX(Data[FY2026 RPDC Budget Guarantee],MATCH(A312,Data[Label],0))</f>
        <v>3083368</v>
      </c>
      <c r="D312" s="177">
        <f>'FY2027 Categoricals Report'!L312</f>
        <v>805553</v>
      </c>
      <c r="E312" s="177">
        <f>ROUND((INDEX(Data[FY2026 Media Services],MATCH(A312,Data[Label],0))+INDEX(Data[FY2026 Ed Services],MATCH(A312,Data[Label],0)))*B312,0)</f>
        <v>52647</v>
      </c>
      <c r="F312" s="193">
        <f t="shared" si="26"/>
        <v>3941568</v>
      </c>
      <c r="G312" s="244">
        <f>INDEX(Data[FY2027 Budget Enrollment],MATCH(A312,Data[Label],0))</f>
        <v>395</v>
      </c>
      <c r="H312" s="177">
        <f>'FY2027 RPDC Report'!K312</f>
        <v>3218460</v>
      </c>
      <c r="I312" s="177">
        <f>'FY2027 Categoricals Report'!W312</f>
        <v>842034</v>
      </c>
      <c r="J312" s="177">
        <f>(ROUND(INDEX(Data[FY2026 Media Services],MATCH(A312,Data[Label],0))*(1+$B$6),2)+ROUND(INDEX(Data[FY2026 Ed Services],MATCH(A312,Data[Label],0))*(1+$B$6),2))*G312</f>
        <v>54952.4</v>
      </c>
      <c r="K312" s="177">
        <f t="shared" si="27"/>
        <v>4115446.4</v>
      </c>
      <c r="L312" s="177">
        <f t="shared" si="28"/>
        <v>173878.39999999991</v>
      </c>
      <c r="M312" s="178">
        <f t="shared" si="29"/>
        <v>4.4114017568642708E-2</v>
      </c>
      <c r="N312" s="179">
        <f t="shared" si="24"/>
        <v>9</v>
      </c>
      <c r="O312" s="180">
        <f t="shared" si="25"/>
        <v>2.3316062176165803E-2</v>
      </c>
    </row>
    <row r="313" spans="1:15" x14ac:dyDescent="0.55000000000000004">
      <c r="A313" s="198" t="s">
        <v>306</v>
      </c>
      <c r="B313" s="181">
        <f>INDEX(Data[FY2026 Budget Enrollment],MATCH(A313,Data[Label],0))</f>
        <v>265.60000000000002</v>
      </c>
      <c r="C313" s="182">
        <f>INDEX(Data[FY2026 RPDC Total],MATCH(A313,Data[Label],0))+INDEX(Data[FY2026 RPDC Budget Guarantee],MATCH(A313,Data[Label],0))</f>
        <v>2121613</v>
      </c>
      <c r="D313" s="182">
        <f>'FY2027 Categoricals Report'!L313</f>
        <v>614874</v>
      </c>
      <c r="E313" s="182">
        <f>ROUND((INDEX(Data[FY2026 Media Services],MATCH(A313,Data[Label],0))+INDEX(Data[FY2026 Ed Services],MATCH(A313,Data[Label],0)))*B313,0)</f>
        <v>36640</v>
      </c>
      <c r="F313" s="194">
        <f t="shared" si="26"/>
        <v>2773127</v>
      </c>
      <c r="G313" s="243">
        <f>INDEX(Data[FY2027 Budget Enrollment],MATCH(A313,Data[Label],0))</f>
        <v>250.6</v>
      </c>
      <c r="H313" s="182">
        <f>'FY2027 RPDC Report'!K313</f>
        <v>2142828.7999999998</v>
      </c>
      <c r="I313" s="182">
        <f>'FY2027 Categoricals Report'!W313</f>
        <v>614874</v>
      </c>
      <c r="J313" s="182">
        <f>(ROUND(INDEX(Data[FY2026 Media Services],MATCH(A313,Data[Label],0))*(1+$B$6),2)+ROUND(INDEX(Data[FY2026 Ed Services],MATCH(A313,Data[Label],0))*(1+$B$6),2))*G313</f>
        <v>35261.925999999992</v>
      </c>
      <c r="K313" s="182">
        <f t="shared" si="27"/>
        <v>2792964.7259999998</v>
      </c>
      <c r="L313" s="182">
        <f t="shared" si="28"/>
        <v>19837.725999999791</v>
      </c>
      <c r="M313" s="178">
        <f t="shared" si="29"/>
        <v>7.1535584197910127E-3</v>
      </c>
      <c r="N313" s="184">
        <f t="shared" si="24"/>
        <v>-15.000000000000028</v>
      </c>
      <c r="O313" s="185">
        <f t="shared" si="25"/>
        <v>-5.6475903614457937E-2</v>
      </c>
    </row>
    <row r="314" spans="1:15" x14ac:dyDescent="0.55000000000000004">
      <c r="A314" s="197" t="s">
        <v>307</v>
      </c>
      <c r="B314" s="176">
        <f>INDEX(Data[FY2026 Budget Enrollment],MATCH(A314,Data[Label],0))</f>
        <v>954.6</v>
      </c>
      <c r="C314" s="177">
        <f>INDEX(Data[FY2026 RPDC Total],MATCH(A314,Data[Label],0))+INDEX(Data[FY2026 RPDC Budget Guarantee],MATCH(A314,Data[Label],0))</f>
        <v>7650164</v>
      </c>
      <c r="D314" s="177">
        <f>'FY2027 Categoricals Report'!L314</f>
        <v>1411622</v>
      </c>
      <c r="E314" s="177">
        <f>ROUND((INDEX(Data[FY2026 Media Services],MATCH(A314,Data[Label],0))+INDEX(Data[FY2026 Ed Services],MATCH(A314,Data[Label],0)))*B314,0)</f>
        <v>129959</v>
      </c>
      <c r="F314" s="193">
        <f t="shared" si="26"/>
        <v>9191745</v>
      </c>
      <c r="G314" s="244">
        <f>INDEX(Data[FY2027 Budget Enrollment],MATCH(A314,Data[Label],0))</f>
        <v>938.9</v>
      </c>
      <c r="H314" s="177">
        <f>'FY2027 RPDC Report'!K314</f>
        <v>7726665.5999999996</v>
      </c>
      <c r="I314" s="177">
        <f>'FY2027 Categoricals Report'!W314</f>
        <v>1417596</v>
      </c>
      <c r="J314" s="177">
        <f>(ROUND(INDEX(Data[FY2026 Media Services],MATCH(A314,Data[Label],0))*(1+$B$6),2)+ROUND(INDEX(Data[FY2026 Ed Services],MATCH(A314,Data[Label],0))*(1+$B$6),2))*G314</f>
        <v>130385.04300000001</v>
      </c>
      <c r="K314" s="177">
        <f t="shared" si="27"/>
        <v>9274646.6429999992</v>
      </c>
      <c r="L314" s="177">
        <f t="shared" si="28"/>
        <v>82901.642999999225</v>
      </c>
      <c r="M314" s="178">
        <f t="shared" si="29"/>
        <v>9.0191408704222344E-3</v>
      </c>
      <c r="N314" s="179">
        <f t="shared" si="24"/>
        <v>-15.700000000000045</v>
      </c>
      <c r="O314" s="180">
        <f t="shared" si="25"/>
        <v>-1.6446679237376961E-2</v>
      </c>
    </row>
    <row r="315" spans="1:15" x14ac:dyDescent="0.55000000000000004">
      <c r="A315" s="198" t="s">
        <v>308</v>
      </c>
      <c r="B315" s="181">
        <f>INDEX(Data[FY2026 Budget Enrollment],MATCH(A315,Data[Label],0))</f>
        <v>1329.3</v>
      </c>
      <c r="C315" s="182">
        <f>INDEX(Data[FY2026 RPDC Total],MATCH(A315,Data[Label],0))+INDEX(Data[FY2026 RPDC Budget Guarantee],MATCH(A315,Data[Label],0))</f>
        <v>10618448</v>
      </c>
      <c r="D315" s="182">
        <f>'FY2027 Categoricals Report'!L315</f>
        <v>2081116</v>
      </c>
      <c r="E315" s="182">
        <f>ROUND((INDEX(Data[FY2026 Media Services],MATCH(A315,Data[Label],0))+INDEX(Data[FY2026 Ed Services],MATCH(A315,Data[Label],0)))*B315,0)</f>
        <v>183377</v>
      </c>
      <c r="F315" s="194">
        <f t="shared" si="26"/>
        <v>12882941</v>
      </c>
      <c r="G315" s="243">
        <f>INDEX(Data[FY2027 Budget Enrollment],MATCH(A315,Data[Label],0))</f>
        <v>1279.4000000000001</v>
      </c>
      <c r="H315" s="182">
        <f>'FY2027 RPDC Report'!K315</f>
        <v>10724632.200000001</v>
      </c>
      <c r="I315" s="182">
        <f>'FY2027 Categoricals Report'!W315</f>
        <v>2135059</v>
      </c>
      <c r="J315" s="182">
        <f>(ROUND(INDEX(Data[FY2026 Media Services],MATCH(A315,Data[Label],0))*(1+$B$6),2)+ROUND(INDEX(Data[FY2026 Ed Services],MATCH(A315,Data[Label],0))*(1+$B$6),2))*G315</f>
        <v>180024.37399999998</v>
      </c>
      <c r="K315" s="182">
        <f t="shared" si="27"/>
        <v>13039715.574000001</v>
      </c>
      <c r="L315" s="182">
        <f t="shared" si="28"/>
        <v>156774.57400000095</v>
      </c>
      <c r="M315" s="178">
        <f t="shared" si="29"/>
        <v>1.216916028723573E-2</v>
      </c>
      <c r="N315" s="184">
        <f t="shared" si="24"/>
        <v>-49.899999999999864</v>
      </c>
      <c r="O315" s="185">
        <f t="shared" si="25"/>
        <v>-3.7538554126231749E-2</v>
      </c>
    </row>
    <row r="316" spans="1:15" x14ac:dyDescent="0.55000000000000004">
      <c r="A316" s="197" t="s">
        <v>309</v>
      </c>
      <c r="B316" s="176">
        <f>INDEX(Data[FY2026 Budget Enrollment],MATCH(A316,Data[Label],0))</f>
        <v>8525.7999999999993</v>
      </c>
      <c r="C316" s="177">
        <f>INDEX(Data[FY2026 RPDC Total],MATCH(A316,Data[Label],0))+INDEX(Data[FY2026 RPDC Budget Guarantee],MATCH(A316,Data[Label],0))</f>
        <v>68104090</v>
      </c>
      <c r="D316" s="177">
        <f>'FY2027 Categoricals Report'!L316</f>
        <v>11460089</v>
      </c>
      <c r="E316" s="177">
        <f>ROUND((INDEX(Data[FY2026 Media Services],MATCH(A316,Data[Label],0))+INDEX(Data[FY2026 Ed Services],MATCH(A316,Data[Label],0)))*B316,0)</f>
        <v>1160702</v>
      </c>
      <c r="F316" s="193">
        <f t="shared" si="26"/>
        <v>80724881</v>
      </c>
      <c r="G316" s="244">
        <f>INDEX(Data[FY2027 Budget Enrollment],MATCH(A316,Data[Label],0))</f>
        <v>8249.4</v>
      </c>
      <c r="H316" s="177">
        <f>'FY2027 RPDC Report'!K316</f>
        <v>68785131.200000003</v>
      </c>
      <c r="I316" s="177">
        <f>'FY2027 Categoricals Report'!W316</f>
        <v>12249596</v>
      </c>
      <c r="J316" s="177">
        <f>(ROUND(INDEX(Data[FY2026 Media Services],MATCH(A316,Data[Label],0))*(1+$B$6),2)+ROUND(INDEX(Data[FY2026 Ed Services],MATCH(A316,Data[Label],0))*(1+$B$6),2))*G316</f>
        <v>1145594.1780000001</v>
      </c>
      <c r="K316" s="177">
        <f t="shared" si="27"/>
        <v>82180321.378000006</v>
      </c>
      <c r="L316" s="177">
        <f t="shared" si="28"/>
        <v>1455440.3780000061</v>
      </c>
      <c r="M316" s="178">
        <f t="shared" si="29"/>
        <v>1.8029637950163172E-2</v>
      </c>
      <c r="N316" s="179">
        <f t="shared" si="24"/>
        <v>-276.39999999999964</v>
      </c>
      <c r="O316" s="180">
        <f t="shared" si="25"/>
        <v>-3.2419245114827897E-2</v>
      </c>
    </row>
    <row r="317" spans="1:15" x14ac:dyDescent="0.55000000000000004">
      <c r="A317" s="198" t="s">
        <v>310</v>
      </c>
      <c r="B317" s="181">
        <f>INDEX(Data[FY2026 Budget Enrollment],MATCH(A317,Data[Label],0))</f>
        <v>748.6</v>
      </c>
      <c r="C317" s="182">
        <f>INDEX(Data[FY2026 RPDC Total],MATCH(A317,Data[Label],0))+INDEX(Data[FY2026 RPDC Budget Guarantee],MATCH(A317,Data[Label],0))</f>
        <v>5991794</v>
      </c>
      <c r="D317" s="182">
        <f>'FY2027 Categoricals Report'!L317</f>
        <v>1249059</v>
      </c>
      <c r="E317" s="182">
        <f>ROUND((INDEX(Data[FY2026 Media Services],MATCH(A317,Data[Label],0))+INDEX(Data[FY2026 Ed Services],MATCH(A317,Data[Label],0)))*B317,0)</f>
        <v>103359</v>
      </c>
      <c r="F317" s="194">
        <f t="shared" si="26"/>
        <v>7344212</v>
      </c>
      <c r="G317" s="243">
        <f>INDEX(Data[FY2027 Budget Enrollment],MATCH(A317,Data[Label],0))</f>
        <v>737.4</v>
      </c>
      <c r="H317" s="182">
        <f>'FY2027 RPDC Report'!K317</f>
        <v>6051711.5999999996</v>
      </c>
      <c r="I317" s="182">
        <f>'FY2027 Categoricals Report'!W317</f>
        <v>1282618</v>
      </c>
      <c r="J317" s="182">
        <f>(ROUND(INDEX(Data[FY2026 Media Services],MATCH(A317,Data[Label],0))*(1+$B$6),2)+ROUND(INDEX(Data[FY2026 Ed Services],MATCH(A317,Data[Label],0))*(1+$B$6),2))*G317</f>
        <v>103855.41599999998</v>
      </c>
      <c r="K317" s="182">
        <f t="shared" si="27"/>
        <v>7438185.0159999998</v>
      </c>
      <c r="L317" s="182">
        <f t="shared" si="28"/>
        <v>93973.015999999829</v>
      </c>
      <c r="M317" s="178">
        <f t="shared" si="29"/>
        <v>1.2795520608609858E-2</v>
      </c>
      <c r="N317" s="184">
        <f t="shared" si="24"/>
        <v>-11.200000000000045</v>
      </c>
      <c r="O317" s="185">
        <f t="shared" si="25"/>
        <v>-1.4961261020571794E-2</v>
      </c>
    </row>
    <row r="318" spans="1:15" x14ac:dyDescent="0.55000000000000004">
      <c r="A318" s="197" t="s">
        <v>311</v>
      </c>
      <c r="B318" s="176">
        <f>INDEX(Data[FY2026 Budget Enrollment],MATCH(A318,Data[Label],0))</f>
        <v>587.9</v>
      </c>
      <c r="C318" s="177">
        <f>INDEX(Data[FY2026 RPDC Total],MATCH(A318,Data[Label],0))+INDEX(Data[FY2026 RPDC Budget Guarantee],MATCH(A318,Data[Label],0))</f>
        <v>4696145</v>
      </c>
      <c r="D318" s="177">
        <f>'FY2027 Categoricals Report'!L318</f>
        <v>922798</v>
      </c>
      <c r="E318" s="177">
        <f>ROUND((INDEX(Data[FY2026 Media Services],MATCH(A318,Data[Label],0))+INDEX(Data[FY2026 Ed Services],MATCH(A318,Data[Label],0)))*B318,0)</f>
        <v>81171</v>
      </c>
      <c r="F318" s="193">
        <f t="shared" si="26"/>
        <v>5700114</v>
      </c>
      <c r="G318" s="244">
        <f>INDEX(Data[FY2027 Budget Enrollment],MATCH(A318,Data[Label],0))</f>
        <v>598.9</v>
      </c>
      <c r="H318" s="177">
        <f>'FY2027 RPDC Report'!K318</f>
        <v>4879837.2</v>
      </c>
      <c r="I318" s="177">
        <f>'FY2027 Categoricals Report'!W318</f>
        <v>956360</v>
      </c>
      <c r="J318" s="177">
        <f>(ROUND(INDEX(Data[FY2026 Media Services],MATCH(A318,Data[Label],0))*(1+$B$6),2)+ROUND(INDEX(Data[FY2026 Ed Services],MATCH(A318,Data[Label],0))*(1+$B$6),2))*G318</f>
        <v>84349.075999999986</v>
      </c>
      <c r="K318" s="177">
        <f t="shared" si="27"/>
        <v>5920546.2760000005</v>
      </c>
      <c r="L318" s="177">
        <f t="shared" si="28"/>
        <v>220432.27600000054</v>
      </c>
      <c r="M318" s="178">
        <f t="shared" si="29"/>
        <v>3.8671555691693275E-2</v>
      </c>
      <c r="N318" s="179">
        <f t="shared" si="24"/>
        <v>11</v>
      </c>
      <c r="O318" s="180">
        <f t="shared" si="25"/>
        <v>1.8710665079095086E-2</v>
      </c>
    </row>
    <row r="319" spans="1:15" x14ac:dyDescent="0.55000000000000004">
      <c r="A319" s="198" t="s">
        <v>312</v>
      </c>
      <c r="B319" s="181">
        <f>INDEX(Data[FY2026 Budget Enrollment],MATCH(A319,Data[Label],0))</f>
        <v>335.1</v>
      </c>
      <c r="C319" s="182">
        <f>INDEX(Data[FY2026 RPDC Total],MATCH(A319,Data[Label],0))+INDEX(Data[FY2026 RPDC Budget Guarantee],MATCH(A319,Data[Label],0))</f>
        <v>2819842</v>
      </c>
      <c r="D319" s="182">
        <f>'FY2027 Categoricals Report'!L319</f>
        <v>586215</v>
      </c>
      <c r="E319" s="182">
        <f>ROUND((INDEX(Data[FY2026 Media Services],MATCH(A319,Data[Label],0))+INDEX(Data[FY2026 Ed Services],MATCH(A319,Data[Label],0)))*B319,0)</f>
        <v>45858</v>
      </c>
      <c r="F319" s="194">
        <f t="shared" si="26"/>
        <v>3451915</v>
      </c>
      <c r="G319" s="243">
        <f>INDEX(Data[FY2027 Budget Enrollment],MATCH(A319,Data[Label],0))</f>
        <v>343</v>
      </c>
      <c r="H319" s="182">
        <f>'FY2027 RPDC Report'!K319</f>
        <v>2839354</v>
      </c>
      <c r="I319" s="182">
        <f>'FY2027 Categoricals Report'!W319</f>
        <v>603875</v>
      </c>
      <c r="J319" s="182">
        <f>(ROUND(INDEX(Data[FY2026 Media Services],MATCH(A319,Data[Label],0))*(1+$B$6),2)+ROUND(INDEX(Data[FY2026 Ed Services],MATCH(A319,Data[Label],0))*(1+$B$6),2))*G319</f>
        <v>47879.37</v>
      </c>
      <c r="K319" s="182">
        <f t="shared" si="27"/>
        <v>3491108.37</v>
      </c>
      <c r="L319" s="182">
        <f t="shared" si="28"/>
        <v>39193.370000000112</v>
      </c>
      <c r="M319" s="178">
        <f t="shared" si="29"/>
        <v>1.1354094756099184E-2</v>
      </c>
      <c r="N319" s="184">
        <f t="shared" si="24"/>
        <v>7.8999999999999773</v>
      </c>
      <c r="O319" s="185">
        <f t="shared" si="25"/>
        <v>2.3575052223216882E-2</v>
      </c>
    </row>
    <row r="320" spans="1:15" x14ac:dyDescent="0.55000000000000004">
      <c r="A320" s="197" t="s">
        <v>313</v>
      </c>
      <c r="B320" s="176">
        <f>INDEX(Data[FY2026 Budget Enrollment],MATCH(A320,Data[Label],0))</f>
        <v>1236.0999999999999</v>
      </c>
      <c r="C320" s="177">
        <f>INDEX(Data[FY2026 RPDC Total],MATCH(A320,Data[Label],0))+INDEX(Data[FY2026 RPDC Budget Guarantee],MATCH(A320,Data[Label],0))</f>
        <v>9883486</v>
      </c>
      <c r="D320" s="177">
        <f>'FY2027 Categoricals Report'!L320</f>
        <v>1948472</v>
      </c>
      <c r="E320" s="177">
        <f>ROUND((INDEX(Data[FY2026 Media Services],MATCH(A320,Data[Label],0))+INDEX(Data[FY2026 Ed Services],MATCH(A320,Data[Label],0)))*B320,0)</f>
        <v>167689</v>
      </c>
      <c r="F320" s="193">
        <f t="shared" si="26"/>
        <v>11999647</v>
      </c>
      <c r="G320" s="244">
        <f>INDEX(Data[FY2027 Budget Enrollment],MATCH(A320,Data[Label],0))</f>
        <v>1237.0999999999999</v>
      </c>
      <c r="H320" s="177">
        <f>'FY2027 RPDC Report'!K320</f>
        <v>10079890.799999999</v>
      </c>
      <c r="I320" s="177">
        <f>'FY2027 Categoricals Report'!W320</f>
        <v>1980694</v>
      </c>
      <c r="J320" s="177">
        <f>(ROUND(INDEX(Data[FY2026 Media Services],MATCH(A320,Data[Label],0))*(1+$B$6),2)+ROUND(INDEX(Data[FY2026 Ed Services],MATCH(A320,Data[Label],0))*(1+$B$6),2))*G320</f>
        <v>171189.89799999999</v>
      </c>
      <c r="K320" s="177">
        <f t="shared" si="27"/>
        <v>12231774.697999999</v>
      </c>
      <c r="L320" s="177">
        <f t="shared" si="28"/>
        <v>232127.69799999893</v>
      </c>
      <c r="M320" s="178">
        <f t="shared" si="29"/>
        <v>1.9344543885332539E-2</v>
      </c>
      <c r="N320" s="179">
        <f t="shared" si="24"/>
        <v>1</v>
      </c>
      <c r="O320" s="180">
        <f t="shared" si="25"/>
        <v>8.089960359194241E-4</v>
      </c>
    </row>
    <row r="321" spans="1:15" x14ac:dyDescent="0.55000000000000004">
      <c r="A321" s="198" t="s">
        <v>314</v>
      </c>
      <c r="B321" s="181">
        <f>INDEX(Data[FY2026 Budget Enrollment],MATCH(A321,Data[Label],0))</f>
        <v>947.4</v>
      </c>
      <c r="C321" s="182">
        <f>INDEX(Data[FY2026 RPDC Total],MATCH(A321,Data[Label],0))+INDEX(Data[FY2026 RPDC Budget Guarantee],MATCH(A321,Data[Label],0))</f>
        <v>7567831</v>
      </c>
      <c r="D321" s="182">
        <f>'FY2027 Categoricals Report'!L321</f>
        <v>1484044</v>
      </c>
      <c r="E321" s="182">
        <f>ROUND((INDEX(Data[FY2026 Media Services],MATCH(A321,Data[Label],0))+INDEX(Data[FY2026 Ed Services],MATCH(A321,Data[Label],0)))*B321,0)</f>
        <v>131054</v>
      </c>
      <c r="F321" s="194">
        <f t="shared" si="26"/>
        <v>9182929</v>
      </c>
      <c r="G321" s="243">
        <f>INDEX(Data[FY2027 Budget Enrollment],MATCH(A321,Data[Label],0))</f>
        <v>916.2</v>
      </c>
      <c r="H321" s="182">
        <f>'FY2027 RPDC Report'!K321</f>
        <v>7643509.6000000006</v>
      </c>
      <c r="I321" s="182">
        <f>'FY2027 Categoricals Report'!W321</f>
        <v>1520239</v>
      </c>
      <c r="J321" s="182">
        <f>(ROUND(INDEX(Data[FY2026 Media Services],MATCH(A321,Data[Label],0))*(1+$B$6),2)+ROUND(INDEX(Data[FY2026 Ed Services],MATCH(A321,Data[Label],0))*(1+$B$6),2))*G321</f>
        <v>129275.82</v>
      </c>
      <c r="K321" s="182">
        <f t="shared" si="27"/>
        <v>9293024.4199999999</v>
      </c>
      <c r="L321" s="182">
        <f t="shared" si="28"/>
        <v>110095.41999999993</v>
      </c>
      <c r="M321" s="178">
        <f t="shared" si="29"/>
        <v>1.1989139848516734E-2</v>
      </c>
      <c r="N321" s="184">
        <f t="shared" si="24"/>
        <v>-31.199999999999932</v>
      </c>
      <c r="O321" s="185">
        <f t="shared" si="25"/>
        <v>-3.2932235592146857E-2</v>
      </c>
    </row>
    <row r="322" spans="1:15" x14ac:dyDescent="0.55000000000000004">
      <c r="A322" s="197" t="s">
        <v>315</v>
      </c>
      <c r="B322" s="176">
        <f>INDEX(Data[FY2026 Budget Enrollment],MATCH(A322,Data[Label],0))</f>
        <v>729.5</v>
      </c>
      <c r="C322" s="177">
        <f>INDEX(Data[FY2026 RPDC Total],MATCH(A322,Data[Label],0))+INDEX(Data[FY2026 RPDC Budget Guarantee],MATCH(A322,Data[Label],0))</f>
        <v>5988268</v>
      </c>
      <c r="D322" s="177">
        <f>'FY2027 Categoricals Report'!L322</f>
        <v>1106570</v>
      </c>
      <c r="E322" s="177">
        <f>ROUND((INDEX(Data[FY2026 Media Services],MATCH(A322,Data[Label],0))+INDEX(Data[FY2026 Ed Services],MATCH(A322,Data[Label],0)))*B322,0)</f>
        <v>100722</v>
      </c>
      <c r="F322" s="193">
        <f t="shared" si="26"/>
        <v>7195560</v>
      </c>
      <c r="G322" s="244">
        <f>INDEX(Data[FY2027 Budget Enrollment],MATCH(A322,Data[Label],0))</f>
        <v>706.9</v>
      </c>
      <c r="H322" s="177">
        <f>'FY2027 RPDC Report'!K322</f>
        <v>5885518.2000000002</v>
      </c>
      <c r="I322" s="177">
        <f>'FY2027 Categoricals Report'!W322</f>
        <v>1100201</v>
      </c>
      <c r="J322" s="177">
        <f>(ROUND(INDEX(Data[FY2026 Media Services],MATCH(A322,Data[Label],0))*(1+$B$6),2)+ROUND(INDEX(Data[FY2026 Ed Services],MATCH(A322,Data[Label],0))*(1+$B$6),2))*G322</f>
        <v>99559.795999999973</v>
      </c>
      <c r="K322" s="177">
        <f t="shared" si="27"/>
        <v>7085278.9960000003</v>
      </c>
      <c r="L322" s="177">
        <f t="shared" si="28"/>
        <v>-110281.00399999972</v>
      </c>
      <c r="M322" s="178">
        <f t="shared" si="29"/>
        <v>-1.5326257303114659E-2</v>
      </c>
      <c r="N322" s="179">
        <f t="shared" si="24"/>
        <v>-22.600000000000023</v>
      </c>
      <c r="O322" s="180">
        <f t="shared" si="25"/>
        <v>-3.0980123372172753E-2</v>
      </c>
    </row>
    <row r="323" spans="1:15" x14ac:dyDescent="0.55000000000000004">
      <c r="A323" s="198" t="s">
        <v>316</v>
      </c>
      <c r="B323" s="181">
        <f>INDEX(Data[FY2026 Budget Enrollment],MATCH(A323,Data[Label],0))</f>
        <v>571.9</v>
      </c>
      <c r="C323" s="182">
        <f>INDEX(Data[FY2026 RPDC Total],MATCH(A323,Data[Label],0))+INDEX(Data[FY2026 RPDC Budget Guarantee],MATCH(A323,Data[Label],0))</f>
        <v>4574986</v>
      </c>
      <c r="D323" s="182">
        <f>'FY2027 Categoricals Report'!L323</f>
        <v>1016308</v>
      </c>
      <c r="E323" s="182">
        <f>ROUND((INDEX(Data[FY2026 Media Services],MATCH(A323,Data[Label],0))+INDEX(Data[FY2026 Ed Services],MATCH(A323,Data[Label],0)))*B323,0)</f>
        <v>79111</v>
      </c>
      <c r="F323" s="194">
        <f t="shared" si="26"/>
        <v>5670405</v>
      </c>
      <c r="G323" s="243">
        <f>INDEX(Data[FY2027 Budget Enrollment],MATCH(A323,Data[Label],0))</f>
        <v>566.20000000000005</v>
      </c>
      <c r="H323" s="182">
        <f>'FY2027 RPDC Report'!K323</f>
        <v>4614020.6000000006</v>
      </c>
      <c r="I323" s="182">
        <f>'FY2027 Categoricals Report'!W323</f>
        <v>1020214</v>
      </c>
      <c r="J323" s="182">
        <f>(ROUND(INDEX(Data[FY2026 Media Services],MATCH(A323,Data[Label],0))*(1+$B$6),2)+ROUND(INDEX(Data[FY2026 Ed Services],MATCH(A323,Data[Label],0))*(1+$B$6),2))*G323</f>
        <v>79890.820000000007</v>
      </c>
      <c r="K323" s="182">
        <f t="shared" si="27"/>
        <v>5714125.4200000009</v>
      </c>
      <c r="L323" s="182">
        <f t="shared" si="28"/>
        <v>43720.420000000857</v>
      </c>
      <c r="M323" s="178">
        <f t="shared" si="29"/>
        <v>7.710281717090906E-3</v>
      </c>
      <c r="N323" s="184">
        <f t="shared" si="24"/>
        <v>-5.6999999999999318</v>
      </c>
      <c r="O323" s="185">
        <f t="shared" si="25"/>
        <v>-9.9667774086377552E-3</v>
      </c>
    </row>
    <row r="324" spans="1:15" x14ac:dyDescent="0.55000000000000004">
      <c r="A324" s="197" t="s">
        <v>317</v>
      </c>
      <c r="B324" s="176">
        <f>INDEX(Data[FY2026 Budget Enrollment],MATCH(A324,Data[Label],0))</f>
        <v>733.1</v>
      </c>
      <c r="C324" s="177">
        <f>INDEX(Data[FY2026 RPDC Total],MATCH(A324,Data[Label],0))+INDEX(Data[FY2026 RPDC Budget Guarantee],MATCH(A324,Data[Label],0))</f>
        <v>5985896</v>
      </c>
      <c r="D324" s="177">
        <f>'FY2027 Categoricals Report'!L324</f>
        <v>1301250</v>
      </c>
      <c r="E324" s="177">
        <f>ROUND((INDEX(Data[FY2026 Media Services],MATCH(A324,Data[Label],0))+INDEX(Data[FY2026 Ed Services],MATCH(A324,Data[Label],0)))*B324,0)</f>
        <v>101410</v>
      </c>
      <c r="F324" s="193">
        <f t="shared" si="26"/>
        <v>7388556</v>
      </c>
      <c r="G324" s="244">
        <f>INDEX(Data[FY2027 Budget Enrollment],MATCH(A324,Data[Label],0))</f>
        <v>714.5</v>
      </c>
      <c r="H324" s="177">
        <f>'FY2027 RPDC Report'!K324</f>
        <v>5914563</v>
      </c>
      <c r="I324" s="177">
        <f>'FY2027 Categoricals Report'!W324</f>
        <v>1313843</v>
      </c>
      <c r="J324" s="177">
        <f>(ROUND(INDEX(Data[FY2026 Media Services],MATCH(A324,Data[Label],0))*(1+$B$6),2)+ROUND(INDEX(Data[FY2026 Ed Services],MATCH(A324,Data[Label],0))*(1+$B$6),2))*G324</f>
        <v>100815.95</v>
      </c>
      <c r="K324" s="177">
        <f t="shared" si="27"/>
        <v>7329221.9500000002</v>
      </c>
      <c r="L324" s="177">
        <f t="shared" si="28"/>
        <v>-59334.049999999814</v>
      </c>
      <c r="M324" s="178">
        <f t="shared" si="29"/>
        <v>-8.0305339771397574E-3</v>
      </c>
      <c r="N324" s="179">
        <f t="shared" si="24"/>
        <v>-18.600000000000023</v>
      </c>
      <c r="O324" s="180">
        <f t="shared" si="25"/>
        <v>-2.5371709180193727E-2</v>
      </c>
    </row>
    <row r="325" spans="1:15" x14ac:dyDescent="0.55000000000000004">
      <c r="A325" s="198" t="s">
        <v>318</v>
      </c>
      <c r="B325" s="181">
        <f>INDEX(Data[FY2026 Budget Enrollment],MATCH(A325,Data[Label],0))</f>
        <v>3184.6</v>
      </c>
      <c r="C325" s="182">
        <f>INDEX(Data[FY2026 RPDC Total],MATCH(A325,Data[Label],0))+INDEX(Data[FY2026 RPDC Budget Guarantee],MATCH(A325,Data[Label],0))</f>
        <v>25486354</v>
      </c>
      <c r="D325" s="182">
        <f>'FY2027 Categoricals Report'!L325</f>
        <v>5164208</v>
      </c>
      <c r="E325" s="182">
        <f>ROUND((INDEX(Data[FY2026 Media Services],MATCH(A325,Data[Label],0))+INDEX(Data[FY2026 Ed Services],MATCH(A325,Data[Label],0)))*B325,0)</f>
        <v>439316</v>
      </c>
      <c r="F325" s="194">
        <f t="shared" si="26"/>
        <v>31089878</v>
      </c>
      <c r="G325" s="243">
        <f>INDEX(Data[FY2027 Budget Enrollment],MATCH(A325,Data[Label],0))</f>
        <v>3125</v>
      </c>
      <c r="H325" s="182">
        <f>'FY2027 RPDC Report'!K325</f>
        <v>25741218</v>
      </c>
      <c r="I325" s="182">
        <f>'FY2027 Categoricals Report'!W325</f>
        <v>5672899</v>
      </c>
      <c r="J325" s="182">
        <f>(ROUND(INDEX(Data[FY2026 Media Services],MATCH(A325,Data[Label],0))*(1+$B$6),2)+ROUND(INDEX(Data[FY2026 Ed Services],MATCH(A325,Data[Label],0))*(1+$B$6),2))*G325</f>
        <v>439718.74999999994</v>
      </c>
      <c r="K325" s="182">
        <f t="shared" si="27"/>
        <v>31853835.75</v>
      </c>
      <c r="L325" s="182">
        <f t="shared" si="28"/>
        <v>763957.75</v>
      </c>
      <c r="M325" s="178">
        <f t="shared" si="29"/>
        <v>2.4572555414981042E-2</v>
      </c>
      <c r="N325" s="184">
        <f t="shared" si="24"/>
        <v>-59.599999999999909</v>
      </c>
      <c r="O325" s="185">
        <f t="shared" si="25"/>
        <v>-1.8715066256358697E-2</v>
      </c>
    </row>
    <row r="326" spans="1:15" x14ac:dyDescent="0.55000000000000004">
      <c r="A326" s="197" t="s">
        <v>319</v>
      </c>
      <c r="B326" s="176">
        <f>INDEX(Data[FY2026 Budget Enrollment],MATCH(A326,Data[Label],0))</f>
        <v>498.9</v>
      </c>
      <c r="C326" s="177">
        <f>INDEX(Data[FY2026 RPDC Total],MATCH(A326,Data[Label],0))+INDEX(Data[FY2026 RPDC Budget Guarantee],MATCH(A326,Data[Label],0))</f>
        <v>4212180</v>
      </c>
      <c r="D326" s="177">
        <f>'FY2027 Categoricals Report'!L326</f>
        <v>826826</v>
      </c>
      <c r="E326" s="177">
        <f>ROUND((INDEX(Data[FY2026 Media Services],MATCH(A326,Data[Label],0))+INDEX(Data[FY2026 Ed Services],MATCH(A326,Data[Label],0)))*B326,0)</f>
        <v>69013</v>
      </c>
      <c r="F326" s="193">
        <f t="shared" si="26"/>
        <v>5108019</v>
      </c>
      <c r="G326" s="244">
        <f>INDEX(Data[FY2027 Budget Enrollment],MATCH(A326,Data[Label],0))</f>
        <v>489.5</v>
      </c>
      <c r="H326" s="177">
        <f>'FY2027 RPDC Report'!K326</f>
        <v>4025065</v>
      </c>
      <c r="I326" s="177">
        <f>'FY2027 Categoricals Report'!W326</f>
        <v>826205</v>
      </c>
      <c r="J326" s="177">
        <f>(ROUND(INDEX(Data[FY2026 Media Services],MATCH(A326,Data[Label],0))*(1+$B$6),2)+ROUND(INDEX(Data[FY2026 Ed Services],MATCH(A326,Data[Label],0))*(1+$B$6),2))*G326</f>
        <v>69068.45</v>
      </c>
      <c r="K326" s="177">
        <f t="shared" si="27"/>
        <v>4920338.45</v>
      </c>
      <c r="L326" s="177">
        <f t="shared" si="28"/>
        <v>-187680.54999999981</v>
      </c>
      <c r="M326" s="178">
        <f t="shared" si="29"/>
        <v>-3.6742335923182705E-2</v>
      </c>
      <c r="N326" s="179">
        <f t="shared" si="24"/>
        <v>-9.3999999999999773</v>
      </c>
      <c r="O326" s="180">
        <f t="shared" si="25"/>
        <v>-1.8841451192623728E-2</v>
      </c>
    </row>
    <row r="327" spans="1:15" x14ac:dyDescent="0.55000000000000004">
      <c r="A327" s="198" t="s">
        <v>320</v>
      </c>
      <c r="B327" s="181">
        <f>INDEX(Data[FY2026 Budget Enrollment],MATCH(A327,Data[Label],0))</f>
        <v>171.7</v>
      </c>
      <c r="C327" s="182">
        <f>INDEX(Data[FY2026 RPDC Total],MATCH(A327,Data[Label],0))+INDEX(Data[FY2026 RPDC Budget Guarantee],MATCH(A327,Data[Label],0))</f>
        <v>1523151</v>
      </c>
      <c r="D327" s="182">
        <f>'FY2027 Categoricals Report'!L327</f>
        <v>456700</v>
      </c>
      <c r="E327" s="182">
        <f>ROUND((INDEX(Data[FY2026 Media Services],MATCH(A327,Data[Label],0))+INDEX(Data[FY2026 Ed Services],MATCH(A327,Data[Label],0)))*B327,0)</f>
        <v>23751</v>
      </c>
      <c r="F327" s="194">
        <f t="shared" si="26"/>
        <v>2003602</v>
      </c>
      <c r="G327" s="243">
        <f>INDEX(Data[FY2027 Budget Enrollment],MATCH(A327,Data[Label],0))</f>
        <v>157.4</v>
      </c>
      <c r="H327" s="182">
        <f>'FY2027 RPDC Report'!K327</f>
        <v>1385255.2</v>
      </c>
      <c r="I327" s="182">
        <f>'FY2027 Categoricals Report'!W327</f>
        <v>446596</v>
      </c>
      <c r="J327" s="182">
        <f>(ROUND(INDEX(Data[FY2026 Media Services],MATCH(A327,Data[Label],0))*(1+$B$6),2)+ROUND(INDEX(Data[FY2026 Ed Services],MATCH(A327,Data[Label],0))*(1+$B$6),2))*G327</f>
        <v>22209.14</v>
      </c>
      <c r="K327" s="182">
        <f t="shared" si="27"/>
        <v>1854060.3399999999</v>
      </c>
      <c r="L327" s="182">
        <f t="shared" si="28"/>
        <v>-149541.66000000015</v>
      </c>
      <c r="M327" s="178">
        <f t="shared" si="29"/>
        <v>-7.4636409825903624E-2</v>
      </c>
      <c r="N327" s="184">
        <f t="shared" si="24"/>
        <v>-14.299999999999983</v>
      </c>
      <c r="O327" s="185">
        <f t="shared" si="25"/>
        <v>-8.3284799068142013E-2</v>
      </c>
    </row>
    <row r="328" spans="1:15" x14ac:dyDescent="0.55000000000000004">
      <c r="A328" s="197" t="s">
        <v>321</v>
      </c>
      <c r="B328" s="176">
        <f>INDEX(Data[FY2026 Budget Enrollment],MATCH(A328,Data[Label],0))</f>
        <v>1104.5</v>
      </c>
      <c r="C328" s="177">
        <f>INDEX(Data[FY2026 RPDC Total],MATCH(A328,Data[Label],0))+INDEX(Data[FY2026 RPDC Budget Guarantee],MATCH(A328,Data[Label],0))</f>
        <v>9097803</v>
      </c>
      <c r="D328" s="177">
        <f>'FY2027 Categoricals Report'!L328</f>
        <v>1637283</v>
      </c>
      <c r="E328" s="177">
        <f>ROUND((INDEX(Data[FY2026 Media Services],MATCH(A328,Data[Label],0))+INDEX(Data[FY2026 Ed Services],MATCH(A328,Data[Label],0)))*B328,0)</f>
        <v>150698</v>
      </c>
      <c r="F328" s="193">
        <f t="shared" si="26"/>
        <v>10885784</v>
      </c>
      <c r="G328" s="244">
        <f>INDEX(Data[FY2027 Budget Enrollment],MATCH(A328,Data[Label],0))</f>
        <v>1101.8</v>
      </c>
      <c r="H328" s="177">
        <f>'FY2027 RPDC Report'!K328</f>
        <v>8977466.4000000004</v>
      </c>
      <c r="I328" s="177">
        <f>'FY2027 Categoricals Report'!W328</f>
        <v>1695022</v>
      </c>
      <c r="J328" s="177">
        <f>(ROUND(INDEX(Data[FY2026 Media Services],MATCH(A328,Data[Label],0))*(1+$B$6),2)+ROUND(INDEX(Data[FY2026 Ed Services],MATCH(A328,Data[Label],0))*(1+$B$6),2))*G328</f>
        <v>153337.50600000002</v>
      </c>
      <c r="K328" s="177">
        <f t="shared" si="27"/>
        <v>10825825.905999999</v>
      </c>
      <c r="L328" s="177">
        <f t="shared" si="28"/>
        <v>-59958.094000000507</v>
      </c>
      <c r="M328" s="178">
        <f t="shared" si="29"/>
        <v>-5.5079261172186131E-3</v>
      </c>
      <c r="N328" s="179">
        <f t="shared" si="24"/>
        <v>-2.7000000000000455</v>
      </c>
      <c r="O328" s="180">
        <f t="shared" si="25"/>
        <v>-2.4445450430059263E-3</v>
      </c>
    </row>
    <row r="329" spans="1:15" x14ac:dyDescent="0.55000000000000004">
      <c r="A329" s="198" t="s">
        <v>322</v>
      </c>
      <c r="B329" s="181">
        <f>INDEX(Data[FY2026 Budget Enrollment],MATCH(A329,Data[Label],0))</f>
        <v>815.4</v>
      </c>
      <c r="C329" s="182">
        <f>INDEX(Data[FY2026 RPDC Total],MATCH(A329,Data[Label],0))+INDEX(Data[FY2026 RPDC Budget Guarantee],MATCH(A329,Data[Label],0))</f>
        <v>6730477</v>
      </c>
      <c r="D329" s="182">
        <f>'FY2027 Categoricals Report'!L329</f>
        <v>1233166</v>
      </c>
      <c r="E329" s="182">
        <f>ROUND((INDEX(Data[FY2026 Media Services],MATCH(A329,Data[Label],0))+INDEX(Data[FY2026 Ed Services],MATCH(A329,Data[Label],0)))*B329,0)</f>
        <v>110617</v>
      </c>
      <c r="F329" s="194">
        <f t="shared" si="26"/>
        <v>8074260</v>
      </c>
      <c r="G329" s="243">
        <f>INDEX(Data[FY2027 Budget Enrollment],MATCH(A329,Data[Label],0))</f>
        <v>774.2</v>
      </c>
      <c r="H329" s="182">
        <f>'FY2027 RPDC Report'!K329</f>
        <v>6578549.6000000006</v>
      </c>
      <c r="I329" s="182">
        <f>'FY2027 Categoricals Report'!W329</f>
        <v>1222668</v>
      </c>
      <c r="J329" s="182">
        <f>(ROUND(INDEX(Data[FY2026 Media Services],MATCH(A329,Data[Label],0))*(1+$B$6),2)+ROUND(INDEX(Data[FY2026 Ed Services],MATCH(A329,Data[Label],0))*(1+$B$6),2))*G329</f>
        <v>107133.796</v>
      </c>
      <c r="K329" s="182">
        <f t="shared" si="27"/>
        <v>7908351.3960000006</v>
      </c>
      <c r="L329" s="182">
        <f t="shared" si="28"/>
        <v>-165908.60399999935</v>
      </c>
      <c r="M329" s="178">
        <f t="shared" si="29"/>
        <v>-2.0547840173588582E-2</v>
      </c>
      <c r="N329" s="184">
        <f t="shared" si="24"/>
        <v>-41.199999999999932</v>
      </c>
      <c r="O329" s="185">
        <f t="shared" si="25"/>
        <v>-5.0527348540593493E-2</v>
      </c>
    </row>
    <row r="330" spans="1:15" x14ac:dyDescent="0.55000000000000004">
      <c r="A330" s="197" t="s">
        <v>323</v>
      </c>
      <c r="B330" s="176">
        <f>INDEX(Data[FY2026 Budget Enrollment],MATCH(A330,Data[Label],0))</f>
        <v>302.60000000000002</v>
      </c>
      <c r="C330" s="177">
        <f>INDEX(Data[FY2026 RPDC Total],MATCH(A330,Data[Label],0))+INDEX(Data[FY2026 RPDC Budget Guarantee],MATCH(A330,Data[Label],0))</f>
        <v>2502489</v>
      </c>
      <c r="D330" s="177">
        <f>'FY2027 Categoricals Report'!L330</f>
        <v>633896</v>
      </c>
      <c r="E330" s="177">
        <f>ROUND((INDEX(Data[FY2026 Media Services],MATCH(A330,Data[Label],0))+INDEX(Data[FY2026 Ed Services],MATCH(A330,Data[Label],0)))*B330,0)</f>
        <v>41272</v>
      </c>
      <c r="F330" s="193">
        <f t="shared" si="26"/>
        <v>3177657</v>
      </c>
      <c r="G330" s="244">
        <f>INDEX(Data[FY2027 Budget Enrollment],MATCH(A330,Data[Label],0))</f>
        <v>305.2</v>
      </c>
      <c r="H330" s="177">
        <f>'FY2027 RPDC Report'!K330</f>
        <v>2486769.6</v>
      </c>
      <c r="I330" s="177">
        <f>'FY2027 Categoricals Report'!W330</f>
        <v>644619</v>
      </c>
      <c r="J330" s="177">
        <f>(ROUND(INDEX(Data[FY2026 Media Services],MATCH(A330,Data[Label],0))*(1+$B$6),2)+ROUND(INDEX(Data[FY2026 Ed Services],MATCH(A330,Data[Label],0))*(1+$B$6),2))*G330</f>
        <v>42459.423999999999</v>
      </c>
      <c r="K330" s="177">
        <f t="shared" si="27"/>
        <v>3173848.0240000002</v>
      </c>
      <c r="L330" s="177">
        <f t="shared" si="28"/>
        <v>-3808.9759999997914</v>
      </c>
      <c r="M330" s="178">
        <f t="shared" si="29"/>
        <v>-1.1986743691971133E-3</v>
      </c>
      <c r="N330" s="179">
        <f t="shared" si="24"/>
        <v>2.5999999999999659</v>
      </c>
      <c r="O330" s="180">
        <f t="shared" ref="O330:O334" si="30">N330/B330</f>
        <v>8.592200925313832E-3</v>
      </c>
    </row>
    <row r="331" spans="1:15" x14ac:dyDescent="0.55000000000000004">
      <c r="A331" s="198" t="s">
        <v>324</v>
      </c>
      <c r="B331" s="181">
        <f>INDEX(Data[FY2026 Budget Enrollment],MATCH(A331,Data[Label],0))</f>
        <v>1645.8</v>
      </c>
      <c r="C331" s="182">
        <f>INDEX(Data[FY2026 RPDC Total],MATCH(A331,Data[Label],0))+INDEX(Data[FY2026 RPDC Budget Guarantee],MATCH(A331,Data[Label],0))</f>
        <v>13182725</v>
      </c>
      <c r="D331" s="182">
        <f>'FY2027 Categoricals Report'!L331</f>
        <v>2238746</v>
      </c>
      <c r="E331" s="182">
        <f>ROUND((INDEX(Data[FY2026 Media Services],MATCH(A331,Data[Label],0))+INDEX(Data[FY2026 Ed Services],MATCH(A331,Data[Label],0)))*B331,0)</f>
        <v>224059</v>
      </c>
      <c r="F331" s="194">
        <f t="shared" ref="F331:F334" si="31">E331+D331+C331</f>
        <v>15645530</v>
      </c>
      <c r="G331" s="243">
        <f>INDEX(Data[FY2027 Budget Enrollment],MATCH(A331,Data[Label],0))</f>
        <v>1630.6</v>
      </c>
      <c r="H331" s="182">
        <f>'FY2027 RPDC Report'!K331</f>
        <v>13286128.799999999</v>
      </c>
      <c r="I331" s="182">
        <f>'FY2027 Categoricals Report'!W331</f>
        <v>2286132</v>
      </c>
      <c r="J331" s="182">
        <f>(ROUND(INDEX(Data[FY2026 Media Services],MATCH(A331,Data[Label],0))*(1+$B$6),2)+ROUND(INDEX(Data[FY2026 Ed Services],MATCH(A331,Data[Label],0))*(1+$B$6),2))*G331</f>
        <v>226441.42199999999</v>
      </c>
      <c r="K331" s="182">
        <f t="shared" ref="K331:K334" si="32">I331+J331+H331</f>
        <v>15798702.221999999</v>
      </c>
      <c r="L331" s="182">
        <f t="shared" ref="L331:L334" si="33">K331-F331</f>
        <v>153172.22199999914</v>
      </c>
      <c r="M331" s="178">
        <f t="shared" ref="M331:M334" si="34">L331/F331</f>
        <v>9.7901587226510798E-3</v>
      </c>
      <c r="N331" s="184">
        <f t="shared" si="24"/>
        <v>-15.200000000000045</v>
      </c>
      <c r="O331" s="185">
        <f t="shared" si="30"/>
        <v>-9.2356300887106845E-3</v>
      </c>
    </row>
    <row r="332" spans="1:15" x14ac:dyDescent="0.55000000000000004">
      <c r="A332" s="197" t="s">
        <v>325</v>
      </c>
      <c r="B332" s="176">
        <f>INDEX(Data[FY2026 Budget Enrollment],MATCH(A332,Data[Label],0))</f>
        <v>512.5</v>
      </c>
      <c r="C332" s="177">
        <f>INDEX(Data[FY2026 RPDC Total],MATCH(A332,Data[Label],0))+INDEX(Data[FY2026 RPDC Budget Guarantee],MATCH(A332,Data[Label],0))</f>
        <v>4093850</v>
      </c>
      <c r="D332" s="177">
        <f>'FY2027 Categoricals Report'!L332</f>
        <v>876035</v>
      </c>
      <c r="E332" s="177">
        <f>ROUND((INDEX(Data[FY2026 Media Services],MATCH(A332,Data[Label],0))+INDEX(Data[FY2026 Ed Services],MATCH(A332,Data[Label],0)))*B332,0)</f>
        <v>70136</v>
      </c>
      <c r="F332" s="193">
        <f t="shared" si="31"/>
        <v>5040021</v>
      </c>
      <c r="G332" s="244">
        <f>INDEX(Data[FY2027 Budget Enrollment],MATCH(A332,Data[Label],0))</f>
        <v>532.5</v>
      </c>
      <c r="H332" s="177">
        <f>'FY2027 RPDC Report'!K332</f>
        <v>4338810</v>
      </c>
      <c r="I332" s="177">
        <f>'FY2027 Categoricals Report'!W332</f>
        <v>918016</v>
      </c>
      <c r="J332" s="177">
        <f>(ROUND(INDEX(Data[FY2026 Media Services],MATCH(A332,Data[Label],0))*(1+$B$6),2)+ROUND(INDEX(Data[FY2026 Ed Services],MATCH(A332,Data[Label],0))*(1+$B$6),2))*G332</f>
        <v>74331.675000000003</v>
      </c>
      <c r="K332" s="177">
        <f t="shared" si="32"/>
        <v>5331157.6749999998</v>
      </c>
      <c r="L332" s="177">
        <f t="shared" si="33"/>
        <v>291136.67499999981</v>
      </c>
      <c r="M332" s="178">
        <f t="shared" si="34"/>
        <v>5.7764972606264897E-2</v>
      </c>
      <c r="N332" s="179">
        <f t="shared" si="24"/>
        <v>20</v>
      </c>
      <c r="O332" s="180">
        <f t="shared" si="30"/>
        <v>3.9024390243902439E-2</v>
      </c>
    </row>
    <row r="333" spans="1:15" x14ac:dyDescent="0.55000000000000004">
      <c r="A333" s="198" t="s">
        <v>326</v>
      </c>
      <c r="B333" s="181">
        <f>INDEX(Data[FY2026 Budget Enrollment],MATCH(A333,Data[Label],0))</f>
        <v>515.9</v>
      </c>
      <c r="C333" s="182">
        <f>INDEX(Data[FY2026 RPDC Total],MATCH(A333,Data[Label],0))+INDEX(Data[FY2026 RPDC Budget Guarantee],MATCH(A333,Data[Label],0))</f>
        <v>4121009</v>
      </c>
      <c r="D333" s="182">
        <f>'FY2027 Categoricals Report'!L333</f>
        <v>847331</v>
      </c>
      <c r="E333" s="182">
        <f>ROUND((INDEX(Data[FY2026 Media Services],MATCH(A333,Data[Label],0))+INDEX(Data[FY2026 Ed Services],MATCH(A333,Data[Label],0)))*B333,0)</f>
        <v>71364</v>
      </c>
      <c r="F333" s="194">
        <f t="shared" si="31"/>
        <v>5039704</v>
      </c>
      <c r="G333" s="243">
        <f>INDEX(Data[FY2027 Budget Enrollment],MATCH(A333,Data[Label],0))</f>
        <v>517.6</v>
      </c>
      <c r="H333" s="182">
        <f>'FY2027 RPDC Report'!K333</f>
        <v>4217404.8</v>
      </c>
      <c r="I333" s="182">
        <f>'FY2027 Categoricals Report'!W333</f>
        <v>862993</v>
      </c>
      <c r="J333" s="182">
        <f>(ROUND(INDEX(Data[FY2026 Media Services],MATCH(A333,Data[Label],0))*(1+$B$6),2)+ROUND(INDEX(Data[FY2026 Ed Services],MATCH(A333,Data[Label],0))*(1+$B$6),2))*G333</f>
        <v>73033.36</v>
      </c>
      <c r="K333" s="182">
        <f t="shared" si="32"/>
        <v>5153431.16</v>
      </c>
      <c r="L333" s="182">
        <f t="shared" si="33"/>
        <v>113727.16000000015</v>
      </c>
      <c r="M333" s="178">
        <f t="shared" si="34"/>
        <v>2.2566238017153416E-2</v>
      </c>
      <c r="N333" s="184">
        <f t="shared" si="24"/>
        <v>1.7000000000000455</v>
      </c>
      <c r="O333" s="185">
        <f t="shared" si="30"/>
        <v>3.2952122504362191E-3</v>
      </c>
    </row>
    <row r="334" spans="1:15" ht="14.7" thickBot="1" x14ac:dyDescent="0.6">
      <c r="A334" s="199" t="s">
        <v>327</v>
      </c>
      <c r="B334" s="186">
        <f>INDEX(Data[FY2026 Budget Enrollment],MATCH(A334,Data[Label],0))</f>
        <v>1106.4000000000001</v>
      </c>
      <c r="C334" s="187">
        <f>INDEX(Data[FY2026 RPDC Total],MATCH(A334,Data[Label],0))+INDEX(Data[FY2026 RPDC Budget Guarantee],MATCH(A334,Data[Label],0))</f>
        <v>8895456</v>
      </c>
      <c r="D334" s="187">
        <f>'FY2027 Categoricals Report'!L334</f>
        <v>1557823</v>
      </c>
      <c r="E334" s="187">
        <f>ROUND((INDEX(Data[FY2026 Media Services],MATCH(A334,Data[Label],0))+INDEX(Data[FY2026 Ed Services],MATCH(A334,Data[Label],0)))*B334,0)</f>
        <v>150625</v>
      </c>
      <c r="F334" s="195">
        <f t="shared" si="31"/>
        <v>10603904</v>
      </c>
      <c r="G334" s="245">
        <f>INDEX(Data[FY2027 Budget Enrollment],MATCH(A334,Data[Label],0))</f>
        <v>1114.3</v>
      </c>
      <c r="H334" s="187">
        <f>'FY2027 RPDC Report'!K334</f>
        <v>9137260</v>
      </c>
      <c r="I334" s="187">
        <f>'FY2027 Categoricals Report'!W334</f>
        <v>1619240</v>
      </c>
      <c r="J334" s="187">
        <f>(ROUND(INDEX(Data[FY2026 Media Services],MATCH(A334,Data[Label],0))*(1+$B$6),2)+ROUND(INDEX(Data[FY2026 Ed Services],MATCH(A334,Data[Label],0))*(1+$B$6),2))*G334</f>
        <v>154742.84099999999</v>
      </c>
      <c r="K334" s="187">
        <f t="shared" si="32"/>
        <v>10911242.841</v>
      </c>
      <c r="L334" s="187">
        <f t="shared" si="33"/>
        <v>307338.84100000001</v>
      </c>
      <c r="M334" s="188">
        <f t="shared" si="34"/>
        <v>2.8983555584811031E-2</v>
      </c>
      <c r="N334" s="189">
        <f t="shared" si="24"/>
        <v>7.8999999999998636</v>
      </c>
      <c r="O334" s="190">
        <f t="shared" si="30"/>
        <v>7.1402747650034914E-3</v>
      </c>
    </row>
    <row r="335" spans="1:15" ht="14.7" thickBot="1" x14ac:dyDescent="0.6">
      <c r="B335" s="172"/>
      <c r="G335" s="172"/>
    </row>
    <row r="336" spans="1:15" x14ac:dyDescent="0.55000000000000004">
      <c r="A336" s="204" t="s">
        <v>424</v>
      </c>
      <c r="B336" s="205">
        <f>MIN(B10:B334)</f>
        <v>90</v>
      </c>
      <c r="C336" s="206">
        <f t="shared" ref="C336:O336" si="35">MIN(C10:C334)</f>
        <v>718920</v>
      </c>
      <c r="D336" s="206">
        <f t="shared" si="35"/>
        <v>267938</v>
      </c>
      <c r="E336" s="206">
        <f t="shared" si="35"/>
        <v>12317</v>
      </c>
      <c r="F336" s="207">
        <f t="shared" ref="F336" si="36">MIN(F10:F334)</f>
        <v>1088395</v>
      </c>
      <c r="G336" s="205">
        <f t="shared" si="35"/>
        <v>97</v>
      </c>
      <c r="H336" s="206">
        <f t="shared" si="35"/>
        <v>790356</v>
      </c>
      <c r="I336" s="206">
        <f t="shared" si="35"/>
        <v>275997</v>
      </c>
      <c r="J336" s="206">
        <f t="shared" si="35"/>
        <v>13540.23</v>
      </c>
      <c r="K336" s="206">
        <f t="shared" si="35"/>
        <v>1191223.23</v>
      </c>
      <c r="L336" s="206">
        <f t="shared" si="35"/>
        <v>-563209.11500000022</v>
      </c>
      <c r="M336" s="208">
        <f t="shared" si="35"/>
        <v>-0.12143422108891722</v>
      </c>
      <c r="N336" s="209">
        <f t="shared" si="35"/>
        <v>-676.59999999999854</v>
      </c>
      <c r="O336" s="210">
        <f t="shared" si="35"/>
        <v>-0.27007299270072993</v>
      </c>
    </row>
    <row r="337" spans="1:15" x14ac:dyDescent="0.55000000000000004">
      <c r="A337" s="198" t="s">
        <v>425</v>
      </c>
      <c r="B337" s="181">
        <f>MAX(B10:B334)</f>
        <v>30836.3</v>
      </c>
      <c r="C337" s="182">
        <f t="shared" ref="C337:O337" si="37">MAX(C10:C334)</f>
        <v>247183781</v>
      </c>
      <c r="D337" s="182">
        <f t="shared" si="37"/>
        <v>42687216</v>
      </c>
      <c r="E337" s="182">
        <f t="shared" si="37"/>
        <v>4198054</v>
      </c>
      <c r="F337" s="194">
        <f t="shared" ref="F337" si="38">MAX(F10:F334)</f>
        <v>294069051</v>
      </c>
      <c r="G337" s="181">
        <f t="shared" si="37"/>
        <v>30159.7</v>
      </c>
      <c r="H337" s="182">
        <f t="shared" si="37"/>
        <v>249655619.20000002</v>
      </c>
      <c r="I337" s="182">
        <f t="shared" si="37"/>
        <v>43768447</v>
      </c>
      <c r="J337" s="182">
        <f t="shared" si="37"/>
        <v>4188277.5390000003</v>
      </c>
      <c r="K337" s="182">
        <f t="shared" si="37"/>
        <v>297612343.73900002</v>
      </c>
      <c r="L337" s="182">
        <f t="shared" si="37"/>
        <v>7587424.6920000017</v>
      </c>
      <c r="M337" s="183">
        <f t="shared" si="37"/>
        <v>0.15231507900619343</v>
      </c>
      <c r="N337" s="184">
        <f t="shared" si="37"/>
        <v>394.89999999999964</v>
      </c>
      <c r="O337" s="185">
        <f t="shared" si="37"/>
        <v>0.12350746268656725</v>
      </c>
    </row>
    <row r="338" spans="1:15" x14ac:dyDescent="0.55000000000000004">
      <c r="A338" s="197" t="s">
        <v>426</v>
      </c>
      <c r="B338" s="176">
        <f>AVERAGE(B10:B334)</f>
        <v>1478.9704615384617</v>
      </c>
      <c r="C338" s="177">
        <f t="shared" ref="C338:O338" si="39">AVERAGE(C10:C334)</f>
        <v>11902394.375384616</v>
      </c>
      <c r="D338" s="177">
        <f t="shared" si="39"/>
        <v>2213074.1230769232</v>
      </c>
      <c r="E338" s="177">
        <f t="shared" si="39"/>
        <v>202439.17846153845</v>
      </c>
      <c r="F338" s="193">
        <f t="shared" ref="F338" si="40">AVERAGE(F10:F334)</f>
        <v>14317907.676923078</v>
      </c>
      <c r="G338" s="176">
        <f t="shared" si="39"/>
        <v>1456.3981538461542</v>
      </c>
      <c r="H338" s="177">
        <f t="shared" si="39"/>
        <v>12010006.311076924</v>
      </c>
      <c r="I338" s="177">
        <f t="shared" si="39"/>
        <v>2280097.1630769232</v>
      </c>
      <c r="J338" s="177">
        <f t="shared" si="39"/>
        <v>203339.19187076925</v>
      </c>
      <c r="K338" s="177">
        <f t="shared" si="39"/>
        <v>14493442.666024622</v>
      </c>
      <c r="L338" s="177">
        <f t="shared" si="39"/>
        <v>175534.98910153867</v>
      </c>
      <c r="M338" s="178">
        <f t="shared" si="39"/>
        <v>8.6364267624020191E-3</v>
      </c>
      <c r="N338" s="179">
        <f t="shared" si="39"/>
        <v>-22.572307692307671</v>
      </c>
      <c r="O338" s="180">
        <f t="shared" si="39"/>
        <v>-1.7178811767581761E-2</v>
      </c>
    </row>
    <row r="339" spans="1:15" x14ac:dyDescent="0.55000000000000004">
      <c r="A339" s="198" t="s">
        <v>427</v>
      </c>
      <c r="B339" s="181">
        <f>MEDIAN(B10:B334)</f>
        <v>678.4</v>
      </c>
      <c r="C339" s="182">
        <f t="shared" ref="C339:O339" si="41">MEDIAN(C10:C334)</f>
        <v>5430660</v>
      </c>
      <c r="D339" s="182">
        <f t="shared" si="41"/>
        <v>1154476</v>
      </c>
      <c r="E339" s="182">
        <f t="shared" si="41"/>
        <v>92689</v>
      </c>
      <c r="F339" s="194">
        <f t="shared" ref="F339" si="42">MEDIAN(F10:F334)</f>
        <v>6674233</v>
      </c>
      <c r="G339" s="181">
        <f t="shared" si="41"/>
        <v>670.7</v>
      </c>
      <c r="H339" s="182">
        <f t="shared" si="41"/>
        <v>5494225.7999999998</v>
      </c>
      <c r="I339" s="182">
        <f t="shared" si="41"/>
        <v>1172965</v>
      </c>
      <c r="J339" s="182">
        <f t="shared" si="41"/>
        <v>93341.319000000018</v>
      </c>
      <c r="K339" s="182">
        <f t="shared" si="41"/>
        <v>6741811.1239999998</v>
      </c>
      <c r="L339" s="182">
        <f t="shared" si="41"/>
        <v>57439.763000000268</v>
      </c>
      <c r="M339" s="183">
        <f t="shared" si="41"/>
        <v>8.2252884605000364E-3</v>
      </c>
      <c r="N339" s="184">
        <f t="shared" si="41"/>
        <v>-13.5</v>
      </c>
      <c r="O339" s="185">
        <f t="shared" si="41"/>
        <v>-1.6673979815708694E-2</v>
      </c>
    </row>
    <row r="340" spans="1:15" x14ac:dyDescent="0.55000000000000004">
      <c r="A340" s="197" t="s">
        <v>428</v>
      </c>
      <c r="B340" s="215">
        <f>COUNTIF(B10:B334,"&gt;0")</f>
        <v>325</v>
      </c>
      <c r="C340" s="214">
        <f t="shared" ref="C340:L340" si="43">COUNTIF(C10:C334,"&gt;0")</f>
        <v>325</v>
      </c>
      <c r="D340" s="214">
        <f t="shared" si="43"/>
        <v>325</v>
      </c>
      <c r="E340" s="214">
        <f t="shared" si="43"/>
        <v>325</v>
      </c>
      <c r="F340" s="216">
        <f t="shared" ref="F340" si="44">COUNTIF(F10:F334,"&gt;0")</f>
        <v>325</v>
      </c>
      <c r="G340" s="215">
        <f t="shared" si="43"/>
        <v>325</v>
      </c>
      <c r="H340" s="214">
        <f t="shared" si="43"/>
        <v>325</v>
      </c>
      <c r="I340" s="214">
        <f t="shared" si="43"/>
        <v>325</v>
      </c>
      <c r="J340" s="214">
        <f t="shared" si="43"/>
        <v>325</v>
      </c>
      <c r="K340" s="214">
        <f t="shared" si="43"/>
        <v>325</v>
      </c>
      <c r="L340" s="214">
        <f t="shared" si="43"/>
        <v>247</v>
      </c>
      <c r="M340" s="178"/>
      <c r="N340" s="179"/>
      <c r="O340" s="180"/>
    </row>
    <row r="341" spans="1:15" ht="14.7" thickBot="1" x14ac:dyDescent="0.6">
      <c r="A341" s="211" t="s">
        <v>429</v>
      </c>
      <c r="B341" s="200">
        <f>SUM(B10:B334)</f>
        <v>480665.4</v>
      </c>
      <c r="C341" s="201">
        <f t="shared" ref="C341:N341" si="45">SUM(C10:C334)</f>
        <v>3868278172</v>
      </c>
      <c r="D341" s="201">
        <f t="shared" si="45"/>
        <v>719249090</v>
      </c>
      <c r="E341" s="201">
        <f t="shared" si="45"/>
        <v>65792733</v>
      </c>
      <c r="F341" s="202">
        <f t="shared" ref="F341" si="46">SUM(F10:F334)</f>
        <v>4653319995</v>
      </c>
      <c r="G341" s="200">
        <f t="shared" si="45"/>
        <v>473329.40000000008</v>
      </c>
      <c r="H341" s="201">
        <f t="shared" si="45"/>
        <v>3903252051.1000004</v>
      </c>
      <c r="I341" s="201">
        <f t="shared" si="45"/>
        <v>741031578</v>
      </c>
      <c r="J341" s="201">
        <f t="shared" si="45"/>
        <v>66085237.358000003</v>
      </c>
      <c r="K341" s="201">
        <f t="shared" si="45"/>
        <v>4710368866.4580021</v>
      </c>
      <c r="L341" s="201">
        <f t="shared" si="45"/>
        <v>57048871.458000071</v>
      </c>
      <c r="M341" s="212"/>
      <c r="N341" s="203">
        <f t="shared" si="45"/>
        <v>-7335.9999999999936</v>
      </c>
      <c r="O341" s="213"/>
    </row>
  </sheetData>
  <mergeCells count="4">
    <mergeCell ref="A3:O3"/>
    <mergeCell ref="A4:O4"/>
    <mergeCell ref="G8:O8"/>
    <mergeCell ref="B8:F8"/>
  </mergeCells>
  <conditionalFormatting sqref="M10:M334">
    <cfRule type="colorScale" priority="1">
      <colorScale>
        <cfvo type="min"/>
        <cfvo type="num" val="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scale="60" fitToHeight="0" orientation="landscape" r:id="rId1"/>
  <headerFooter>
    <oddFooter>&amp;R© ISFIS 2025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2"/>
  <sheetViews>
    <sheetView topLeftCell="A3" workbookViewId="0">
      <selection activeCell="Q17" sqref="Q17"/>
    </sheetView>
  </sheetViews>
  <sheetFormatPr defaultRowHeight="14.4" x14ac:dyDescent="0.55000000000000004"/>
  <sheetData>
    <row r="1" spans="1:1" x14ac:dyDescent="0.55000000000000004">
      <c r="A1" t="s">
        <v>411</v>
      </c>
    </row>
    <row r="2" spans="1:1" x14ac:dyDescent="0.55000000000000004">
      <c r="A2" s="37">
        <v>0</v>
      </c>
    </row>
    <row r="3" spans="1:1" x14ac:dyDescent="0.55000000000000004">
      <c r="A3" s="37">
        <v>2.5000000000000001E-3</v>
      </c>
    </row>
    <row r="4" spans="1:1" x14ac:dyDescent="0.55000000000000004">
      <c r="A4" s="37">
        <v>5.0000000000000001E-3</v>
      </c>
    </row>
    <row r="5" spans="1:1" x14ac:dyDescent="0.55000000000000004">
      <c r="A5" s="37">
        <v>7.4999999999999997E-3</v>
      </c>
    </row>
    <row r="6" spans="1:1" x14ac:dyDescent="0.55000000000000004">
      <c r="A6" s="37">
        <v>0.01</v>
      </c>
    </row>
    <row r="7" spans="1:1" x14ac:dyDescent="0.55000000000000004">
      <c r="A7" s="37">
        <v>1.2500000000000001E-2</v>
      </c>
    </row>
    <row r="8" spans="1:1" x14ac:dyDescent="0.55000000000000004">
      <c r="A8" s="37">
        <v>1.4999999999999999E-2</v>
      </c>
    </row>
    <row r="9" spans="1:1" x14ac:dyDescent="0.55000000000000004">
      <c r="A9" s="37">
        <v>1.7500000000000002E-2</v>
      </c>
    </row>
    <row r="10" spans="1:1" x14ac:dyDescent="0.55000000000000004">
      <c r="A10" s="37">
        <v>0.02</v>
      </c>
    </row>
    <row r="11" spans="1:1" x14ac:dyDescent="0.55000000000000004">
      <c r="A11" s="37">
        <v>2.2499999999999999E-2</v>
      </c>
    </row>
    <row r="12" spans="1:1" x14ac:dyDescent="0.55000000000000004">
      <c r="A12" s="37">
        <v>2.5000000000000001E-2</v>
      </c>
    </row>
    <row r="13" spans="1:1" x14ac:dyDescent="0.55000000000000004">
      <c r="A13" s="37">
        <v>2.75E-2</v>
      </c>
    </row>
    <row r="14" spans="1:1" x14ac:dyDescent="0.55000000000000004">
      <c r="A14" s="37">
        <v>0.03</v>
      </c>
    </row>
    <row r="15" spans="1:1" x14ac:dyDescent="0.55000000000000004">
      <c r="A15" s="37">
        <v>3.2500000000000001E-2</v>
      </c>
    </row>
    <row r="16" spans="1:1" x14ac:dyDescent="0.55000000000000004">
      <c r="A16" s="37">
        <v>3.5000000000000003E-2</v>
      </c>
    </row>
    <row r="17" spans="1:1" x14ac:dyDescent="0.55000000000000004">
      <c r="A17" s="37">
        <v>3.7499999999999999E-2</v>
      </c>
    </row>
    <row r="18" spans="1:1" x14ac:dyDescent="0.55000000000000004">
      <c r="A18" s="37">
        <v>0.04</v>
      </c>
    </row>
    <row r="19" spans="1:1" x14ac:dyDescent="0.55000000000000004">
      <c r="A19" s="37">
        <v>4.2500000000000003E-2</v>
      </c>
    </row>
    <row r="20" spans="1:1" x14ac:dyDescent="0.55000000000000004">
      <c r="A20" s="37">
        <v>4.4999999999999998E-2</v>
      </c>
    </row>
    <row r="21" spans="1:1" x14ac:dyDescent="0.55000000000000004">
      <c r="A21" s="37">
        <v>4.7500000000000001E-2</v>
      </c>
    </row>
    <row r="22" spans="1:1" x14ac:dyDescent="0.55000000000000004">
      <c r="A22" s="37">
        <v>0.05</v>
      </c>
    </row>
    <row r="23" spans="1:1" x14ac:dyDescent="0.55000000000000004">
      <c r="A23" s="37">
        <v>5.2499999999999998E-2</v>
      </c>
    </row>
    <row r="24" spans="1:1" x14ac:dyDescent="0.55000000000000004">
      <c r="A24" s="37">
        <v>5.5E-2</v>
      </c>
    </row>
    <row r="25" spans="1:1" x14ac:dyDescent="0.55000000000000004">
      <c r="A25" s="37">
        <v>5.7500000000000002E-2</v>
      </c>
    </row>
    <row r="26" spans="1:1" x14ac:dyDescent="0.55000000000000004">
      <c r="A26" s="37">
        <v>0.06</v>
      </c>
    </row>
    <row r="27" spans="1:1" x14ac:dyDescent="0.55000000000000004">
      <c r="A27" s="37">
        <v>6.25E-2</v>
      </c>
    </row>
    <row r="28" spans="1:1" x14ac:dyDescent="0.55000000000000004">
      <c r="A28" s="37">
        <v>6.5000000000000002E-2</v>
      </c>
    </row>
    <row r="29" spans="1:1" x14ac:dyDescent="0.55000000000000004">
      <c r="A29" s="37">
        <v>6.7500000000000004E-2</v>
      </c>
    </row>
    <row r="30" spans="1:1" x14ac:dyDescent="0.55000000000000004">
      <c r="A30" s="37">
        <v>7.0000000000000007E-2</v>
      </c>
    </row>
    <row r="31" spans="1:1" x14ac:dyDescent="0.55000000000000004">
      <c r="A31" s="37">
        <v>7.2499999999999995E-2</v>
      </c>
    </row>
    <row r="32" spans="1:1" x14ac:dyDescent="0.55000000000000004">
      <c r="A32" s="37">
        <v>7.4999999999999997E-2</v>
      </c>
    </row>
    <row r="33" spans="1:1" x14ac:dyDescent="0.55000000000000004">
      <c r="A33" s="37">
        <v>7.7499999999999999E-2</v>
      </c>
    </row>
    <row r="34" spans="1:1" x14ac:dyDescent="0.55000000000000004">
      <c r="A34" s="37">
        <v>0.08</v>
      </c>
    </row>
    <row r="35" spans="1:1" x14ac:dyDescent="0.55000000000000004">
      <c r="A35" s="37">
        <v>8.2500000000000004E-2</v>
      </c>
    </row>
    <row r="36" spans="1:1" x14ac:dyDescent="0.55000000000000004">
      <c r="A36" s="37">
        <v>8.5000000000000006E-2</v>
      </c>
    </row>
    <row r="37" spans="1:1" x14ac:dyDescent="0.55000000000000004">
      <c r="A37" s="37">
        <v>8.7499999999999994E-2</v>
      </c>
    </row>
    <row r="38" spans="1:1" x14ac:dyDescent="0.55000000000000004">
      <c r="A38" s="37">
        <v>0.09</v>
      </c>
    </row>
    <row r="39" spans="1:1" x14ac:dyDescent="0.55000000000000004">
      <c r="A39" s="37">
        <v>9.2499999999999999E-2</v>
      </c>
    </row>
    <row r="40" spans="1:1" x14ac:dyDescent="0.55000000000000004">
      <c r="A40" s="37">
        <v>9.5000000000000001E-2</v>
      </c>
    </row>
    <row r="41" spans="1:1" x14ac:dyDescent="0.55000000000000004">
      <c r="A41" s="37">
        <v>9.7500000000000003E-2</v>
      </c>
    </row>
    <row r="42" spans="1:1" x14ac:dyDescent="0.55000000000000004">
      <c r="A42" s="37">
        <v>0.1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Instuctions</vt:lpstr>
      <vt:lpstr>District RPDC</vt:lpstr>
      <vt:lpstr>District Categorical</vt:lpstr>
      <vt:lpstr>District Media and Ed Services</vt:lpstr>
      <vt:lpstr>District Totals</vt:lpstr>
      <vt:lpstr>FY2027 RPDC Report</vt:lpstr>
      <vt:lpstr>FY2027 Categoricals Report</vt:lpstr>
      <vt:lpstr>FY2027 Totals Report</vt:lpstr>
      <vt:lpstr>Percentage Selection</vt:lpstr>
      <vt:lpstr>Sheet1</vt:lpstr>
      <vt:lpstr>'District Categorical'!Print_Area</vt:lpstr>
      <vt:lpstr>'District Media and Ed Services'!Print_Area</vt:lpstr>
      <vt:lpstr>'District RPDC'!Print_Area</vt:lpstr>
      <vt:lpstr>'District Totals'!Print_Area</vt:lpstr>
      <vt:lpstr>'FY2027 Categoricals Report'!Print_Titles</vt:lpstr>
      <vt:lpstr>'FY2027 RPDC Report'!Print_Titles</vt:lpstr>
      <vt:lpstr>'FY2027 Totals Report'!Print_Titles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</dc:creator>
  <cp:lastModifiedBy>JA</cp:lastModifiedBy>
  <cp:lastPrinted>2026-01-26T20:46:23Z</cp:lastPrinted>
  <dcterms:created xsi:type="dcterms:W3CDTF">2015-06-05T18:17:20Z</dcterms:created>
  <dcterms:modified xsi:type="dcterms:W3CDTF">2026-01-30T21:02:56Z</dcterms:modified>
</cp:coreProperties>
</file>